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미하일\2분화 패치\"/>
    </mc:Choice>
  </mc:AlternateContent>
  <xr:revisionPtr revIDLastSave="0" documentId="13_ncr:1_{B145CCA3-8496-4CA6-84CA-6F0651EFCD7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간단 효율" sheetId="2" r:id="rId1"/>
    <sheet name="기준표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2" l="1"/>
  <c r="N7" i="2"/>
  <c r="S7" i="1"/>
  <c r="O7" i="1"/>
  <c r="N7" i="1"/>
  <c r="S8" i="1"/>
  <c r="S21" i="2"/>
  <c r="S22" i="2"/>
  <c r="R37" i="2"/>
  <c r="N22" i="2"/>
  <c r="Q22" i="2" s="1"/>
  <c r="L22" i="2"/>
  <c r="Q21" i="2"/>
  <c r="P21" i="2"/>
  <c r="N21" i="2"/>
  <c r="L21" i="2"/>
  <c r="R21" i="2" s="1"/>
  <c r="N20" i="2"/>
  <c r="M20" i="2"/>
  <c r="O20" i="2" s="1"/>
  <c r="L20" i="2"/>
  <c r="O19" i="2"/>
  <c r="R19" i="2" s="1"/>
  <c r="N19" i="2"/>
  <c r="Q19" i="2" s="1"/>
  <c r="M19" i="2"/>
  <c r="S19" i="2" s="1"/>
  <c r="M18" i="2"/>
  <c r="L18" i="2"/>
  <c r="R18" i="2" s="1"/>
  <c r="M17" i="2"/>
  <c r="L17" i="2"/>
  <c r="S17" i="2" s="1"/>
  <c r="M16" i="2"/>
  <c r="L16" i="2"/>
  <c r="M15" i="2"/>
  <c r="L15" i="2"/>
  <c r="P15" i="2" s="1"/>
  <c r="O14" i="2"/>
  <c r="N14" i="2"/>
  <c r="M14" i="2"/>
  <c r="L14" i="2"/>
  <c r="O13" i="2"/>
  <c r="N13" i="2"/>
  <c r="M13" i="2"/>
  <c r="R36" i="2" s="1"/>
  <c r="L13" i="2"/>
  <c r="P13" i="2" s="1"/>
  <c r="M12" i="2"/>
  <c r="L12" i="2"/>
  <c r="R12" i="2" s="1"/>
  <c r="L11" i="2"/>
  <c r="L10" i="2"/>
  <c r="S10" i="2" s="1"/>
  <c r="O9" i="2"/>
  <c r="N9" i="2"/>
  <c r="L9" i="2"/>
  <c r="Q9" i="2" s="1"/>
  <c r="L8" i="2"/>
  <c r="S8" i="2" s="1"/>
  <c r="L7" i="2"/>
  <c r="R7" i="2" s="1"/>
  <c r="O6" i="2"/>
  <c r="N6" i="2"/>
  <c r="M6" i="2"/>
  <c r="L6" i="2"/>
  <c r="P6" i="2" s="1"/>
  <c r="O5" i="2"/>
  <c r="N5" i="2"/>
  <c r="L5" i="2"/>
  <c r="Q5" i="2" s="1"/>
  <c r="Z4" i="2"/>
  <c r="Q35" i="1"/>
  <c r="S39" i="1"/>
  <c r="S40" i="1"/>
  <c r="S41" i="1"/>
  <c r="S38" i="1"/>
  <c r="S35" i="1"/>
  <c r="Q41" i="1"/>
  <c r="Q39" i="1"/>
  <c r="Q40" i="1"/>
  <c r="Q38" i="1"/>
  <c r="R37" i="1"/>
  <c r="N21" i="1"/>
  <c r="N22" i="1"/>
  <c r="L21" i="1"/>
  <c r="S21" i="1" s="1"/>
  <c r="O14" i="1"/>
  <c r="O19" i="1"/>
  <c r="R19" i="1" s="1"/>
  <c r="O13" i="1"/>
  <c r="O9" i="1"/>
  <c r="O6" i="1"/>
  <c r="O5" i="1"/>
  <c r="N20" i="1"/>
  <c r="N19" i="1"/>
  <c r="Q19" i="1" s="1"/>
  <c r="N14" i="1"/>
  <c r="N13" i="1"/>
  <c r="N9" i="1"/>
  <c r="N6" i="1"/>
  <c r="N5" i="1"/>
  <c r="L7" i="1"/>
  <c r="M20" i="1"/>
  <c r="M19" i="1"/>
  <c r="M18" i="1"/>
  <c r="M17" i="1"/>
  <c r="M16" i="1"/>
  <c r="M15" i="1"/>
  <c r="M14" i="1"/>
  <c r="M13" i="1"/>
  <c r="R36" i="1" s="1"/>
  <c r="M12" i="1"/>
  <c r="M11" i="1" s="1"/>
  <c r="N11" i="1" s="1"/>
  <c r="M6" i="1"/>
  <c r="L22" i="1"/>
  <c r="S22" i="1" s="1"/>
  <c r="L6" i="1"/>
  <c r="L8" i="1"/>
  <c r="Q8" i="1" s="1"/>
  <c r="L9" i="1"/>
  <c r="L10" i="1"/>
  <c r="R10" i="1" s="1"/>
  <c r="L11" i="1"/>
  <c r="L12" i="1"/>
  <c r="R12" i="1" s="1"/>
  <c r="L13" i="1"/>
  <c r="L14" i="1"/>
  <c r="L15" i="1"/>
  <c r="L16" i="1"/>
  <c r="S42" i="1" s="1"/>
  <c r="L17" i="1"/>
  <c r="R17" i="1" s="1"/>
  <c r="L18" i="1"/>
  <c r="L20" i="1"/>
  <c r="L5" i="1"/>
  <c r="D13" i="1"/>
  <c r="AA4" i="1"/>
  <c r="H23" i="1"/>
  <c r="S20" i="2" l="1"/>
  <c r="S5" i="2"/>
  <c r="P10" i="2"/>
  <c r="Q10" i="2"/>
  <c r="R10" i="2"/>
  <c r="R14" i="2"/>
  <c r="P7" i="2"/>
  <c r="Q12" i="2"/>
  <c r="S12" i="2"/>
  <c r="Q8" i="2"/>
  <c r="P5" i="2"/>
  <c r="T5" i="2" s="1"/>
  <c r="Q14" i="2"/>
  <c r="Q18" i="2"/>
  <c r="S7" i="2"/>
  <c r="R5" i="2"/>
  <c r="S14" i="2"/>
  <c r="S18" i="2"/>
  <c r="T21" i="2"/>
  <c r="Q7" i="2"/>
  <c r="P14" i="2"/>
  <c r="P17" i="2"/>
  <c r="T10" i="2"/>
  <c r="Q17" i="2"/>
  <c r="R17" i="2"/>
  <c r="Q20" i="2"/>
  <c r="P12" i="2"/>
  <c r="Q13" i="2"/>
  <c r="P20" i="2"/>
  <c r="R6" i="2"/>
  <c r="R9" i="2"/>
  <c r="M11" i="2"/>
  <c r="R13" i="2"/>
  <c r="P16" i="2"/>
  <c r="S6" i="2"/>
  <c r="P8" i="2"/>
  <c r="S9" i="2"/>
  <c r="S13" i="2"/>
  <c r="Q16" i="2"/>
  <c r="P19" i="2"/>
  <c r="T19" i="2" s="1"/>
  <c r="R20" i="2"/>
  <c r="Q15" i="2"/>
  <c r="R15" i="2"/>
  <c r="P9" i="2"/>
  <c r="Q6" i="2"/>
  <c r="R16" i="2"/>
  <c r="R8" i="2"/>
  <c r="P11" i="2"/>
  <c r="S16" i="2"/>
  <c r="P22" i="2"/>
  <c r="S15" i="2"/>
  <c r="P18" i="2"/>
  <c r="R22" i="2"/>
  <c r="S18" i="1"/>
  <c r="Q30" i="1"/>
  <c r="S29" i="1"/>
  <c r="S19" i="1"/>
  <c r="Q20" i="1"/>
  <c r="Q14" i="1"/>
  <c r="Q34" i="1"/>
  <c r="Q12" i="1"/>
  <c r="S15" i="1"/>
  <c r="Q45" i="1"/>
  <c r="O20" i="1"/>
  <c r="S20" i="1" s="1"/>
  <c r="P19" i="1"/>
  <c r="S44" i="1"/>
  <c r="Q43" i="1"/>
  <c r="Q9" i="1"/>
  <c r="Q44" i="1"/>
  <c r="Q36" i="1"/>
  <c r="Q22" i="1"/>
  <c r="S37" i="1"/>
  <c r="O11" i="1"/>
  <c r="R11" i="1" s="1"/>
  <c r="R5" i="1"/>
  <c r="S36" i="1"/>
  <c r="Q33" i="1"/>
  <c r="P10" i="1"/>
  <c r="P14" i="1"/>
  <c r="Q10" i="1"/>
  <c r="Q37" i="1"/>
  <c r="S34" i="1"/>
  <c r="S43" i="1"/>
  <c r="Q32" i="1"/>
  <c r="P7" i="1"/>
  <c r="S33" i="1"/>
  <c r="S10" i="1"/>
  <c r="Q15" i="1"/>
  <c r="S32" i="1"/>
  <c r="S45" i="1"/>
  <c r="S16" i="1"/>
  <c r="R15" i="1"/>
  <c r="Q18" i="1"/>
  <c r="S31" i="1"/>
  <c r="Q5" i="1"/>
  <c r="Q7" i="1"/>
  <c r="Q31" i="1"/>
  <c r="P6" i="1"/>
  <c r="R18" i="1"/>
  <c r="S30" i="1"/>
  <c r="P8" i="1"/>
  <c r="P11" i="1"/>
  <c r="S5" i="1"/>
  <c r="Q29" i="1"/>
  <c r="Q42" i="1"/>
  <c r="S9" i="1"/>
  <c r="Q6" i="1"/>
  <c r="Q13" i="1"/>
  <c r="S14" i="1"/>
  <c r="S17" i="1"/>
  <c r="S12" i="1"/>
  <c r="R22" i="1"/>
  <c r="P9" i="1"/>
  <c r="P15" i="1"/>
  <c r="P21" i="1"/>
  <c r="S6" i="1"/>
  <c r="R16" i="1"/>
  <c r="P5" i="1"/>
  <c r="Q11" i="1"/>
  <c r="Q17" i="1"/>
  <c r="R13" i="1"/>
  <c r="Q21" i="1"/>
  <c r="S13" i="1"/>
  <c r="P16" i="1"/>
  <c r="P22" i="1"/>
  <c r="Q16" i="1"/>
  <c r="R6" i="1"/>
  <c r="P17" i="1"/>
  <c r="R8" i="1"/>
  <c r="P12" i="1"/>
  <c r="P18" i="1"/>
  <c r="R9" i="1"/>
  <c r="P13" i="1"/>
  <c r="R21" i="1"/>
  <c r="P20" i="1"/>
  <c r="R7" i="1"/>
  <c r="R14" i="1"/>
  <c r="J21" i="1"/>
  <c r="J20" i="1"/>
  <c r="J18" i="1"/>
  <c r="J19" i="1"/>
  <c r="J7" i="1"/>
  <c r="J16" i="1"/>
  <c r="J14" i="1"/>
  <c r="J12" i="1"/>
  <c r="J17" i="1"/>
  <c r="J15" i="1"/>
  <c r="J5" i="1"/>
  <c r="J13" i="1"/>
  <c r="J23" i="1"/>
  <c r="J11" i="1"/>
  <c r="J6" i="1"/>
  <c r="J9" i="1"/>
  <c r="J22" i="1"/>
  <c r="J10" i="1"/>
  <c r="T15" i="2" l="1"/>
  <c r="T12" i="2"/>
  <c r="T14" i="2"/>
  <c r="T18" i="2"/>
  <c r="H18" i="2" s="1"/>
  <c r="T7" i="2"/>
  <c r="T13" i="2"/>
  <c r="H13" i="2" s="1"/>
  <c r="T6" i="2"/>
  <c r="T22" i="2"/>
  <c r="H22" i="2" s="1"/>
  <c r="T17" i="2"/>
  <c r="T20" i="2"/>
  <c r="H20" i="2" s="1"/>
  <c r="T9" i="2"/>
  <c r="T8" i="2"/>
  <c r="H8" i="2" s="1"/>
  <c r="O11" i="2"/>
  <c r="R11" i="2" s="1"/>
  <c r="N11" i="2"/>
  <c r="Q11" i="2" s="1"/>
  <c r="T16" i="2"/>
  <c r="H16" i="2" s="1"/>
  <c r="T19" i="1"/>
  <c r="U19" i="1" s="1"/>
  <c r="H19" i="2" s="1"/>
  <c r="S46" i="1"/>
  <c r="AA22" i="1" s="1"/>
  <c r="R20" i="1"/>
  <c r="T20" i="1" s="1"/>
  <c r="U20" i="1" s="1"/>
  <c r="T22" i="1"/>
  <c r="U22" i="1" s="1"/>
  <c r="T13" i="1"/>
  <c r="U13" i="1" s="1"/>
  <c r="Q46" i="1"/>
  <c r="AC22" i="1" s="1"/>
  <c r="T15" i="1"/>
  <c r="U15" i="1" s="1"/>
  <c r="H15" i="2" s="1"/>
  <c r="T12" i="1"/>
  <c r="U12" i="1" s="1"/>
  <c r="H12" i="2" s="1"/>
  <c r="T6" i="1"/>
  <c r="U6" i="1" s="1"/>
  <c r="T14" i="1"/>
  <c r="U14" i="1" s="1"/>
  <c r="T16" i="1"/>
  <c r="U16" i="1" s="1"/>
  <c r="T21" i="1"/>
  <c r="U21" i="1" s="1"/>
  <c r="H21" i="2" s="1"/>
  <c r="S11" i="1"/>
  <c r="T11" i="1" s="1"/>
  <c r="U11" i="1" s="1"/>
  <c r="T17" i="1"/>
  <c r="U17" i="1" s="1"/>
  <c r="T8" i="1"/>
  <c r="T9" i="1"/>
  <c r="U9" i="1" s="1"/>
  <c r="T7" i="1"/>
  <c r="T10" i="1"/>
  <c r="U10" i="1" s="1"/>
  <c r="H10" i="2" s="1"/>
  <c r="T5" i="1"/>
  <c r="U5" i="1" s="1"/>
  <c r="H5" i="2" s="1"/>
  <c r="T18" i="1"/>
  <c r="U18" i="1" s="1"/>
  <c r="Q41" i="2" l="1"/>
  <c r="S41" i="2"/>
  <c r="H14" i="2"/>
  <c r="H7" i="2"/>
  <c r="S38" i="2"/>
  <c r="Q38" i="2"/>
  <c r="Q35" i="2"/>
  <c r="S35" i="2"/>
  <c r="H9" i="2"/>
  <c r="H17" i="2"/>
  <c r="Q40" i="2" s="1"/>
  <c r="U7" i="1"/>
  <c r="H6" i="2"/>
  <c r="AB22" i="1"/>
  <c r="S39" i="2"/>
  <c r="Q36" i="2"/>
  <c r="Q45" i="2"/>
  <c r="S29" i="2"/>
  <c r="Q37" i="2"/>
  <c r="S32" i="2"/>
  <c r="Q34" i="2"/>
  <c r="S45" i="2"/>
  <c r="S34" i="2"/>
  <c r="Q31" i="2"/>
  <c r="S36" i="2"/>
  <c r="Q44" i="2"/>
  <c r="S33" i="2"/>
  <c r="S42" i="2"/>
  <c r="S44" i="2"/>
  <c r="Q29" i="2"/>
  <c r="Q39" i="2"/>
  <c r="S30" i="2"/>
  <c r="Q32" i="2"/>
  <c r="S43" i="2"/>
  <c r="Q30" i="2"/>
  <c r="Q43" i="2"/>
  <c r="Q33" i="2"/>
  <c r="Q42" i="2"/>
  <c r="S31" i="2"/>
  <c r="S37" i="2"/>
  <c r="S11" i="2"/>
  <c r="T11" i="2" s="1"/>
  <c r="H11" i="2" s="1"/>
  <c r="Z23" i="1"/>
  <c r="Y23" i="1"/>
  <c r="X23" i="1"/>
  <c r="X22" i="1"/>
  <c r="Z22" i="1"/>
  <c r="Y22" i="1"/>
  <c r="S40" i="2" l="1"/>
  <c r="H23" i="2"/>
  <c r="J10" i="2" s="1"/>
  <c r="S46" i="2"/>
  <c r="Q46" i="2"/>
  <c r="X22" i="2" l="1"/>
  <c r="Y22" i="2"/>
  <c r="Z22" i="2"/>
  <c r="W23" i="2"/>
  <c r="J19" i="2"/>
  <c r="Y23" i="2"/>
  <c r="J11" i="2"/>
  <c r="J14" i="2"/>
  <c r="J16" i="2"/>
  <c r="J5" i="2"/>
  <c r="J15" i="2"/>
  <c r="J20" i="2"/>
  <c r="J18" i="2"/>
  <c r="J6" i="2"/>
  <c r="J9" i="2"/>
  <c r="X23" i="2"/>
  <c r="J22" i="2"/>
  <c r="J17" i="2"/>
  <c r="W22" i="2"/>
  <c r="J21" i="2"/>
  <c r="J7" i="2"/>
  <c r="J23" i="2"/>
  <c r="J12" i="2"/>
  <c r="J13" i="2"/>
  <c r="AA22" i="2"/>
  <c r="AB22" i="2"/>
</calcChain>
</file>

<file path=xl/sharedStrings.xml><?xml version="1.0" encoding="utf-8"?>
<sst xmlns="http://schemas.openxmlformats.org/spreadsheetml/2006/main" count="256" uniqueCount="104">
  <si>
    <t>헥사 레벨</t>
  </si>
  <si>
    <t>각 버프 지속 중 사용 횟수</t>
  </si>
  <si>
    <t>주스탯</t>
  </si>
  <si>
    <t>기본수치</t>
  </si>
  <si>
    <t>로 아이아스</t>
  </si>
  <si>
    <t>%수치</t>
  </si>
  <si>
    <t>오라웨폰</t>
  </si>
  <si>
    <t>%미적용수치</t>
  </si>
  <si>
    <t>부스탯</t>
  </si>
  <si>
    <t>공격력</t>
  </si>
  <si>
    <t>클라우 솔라스</t>
  </si>
  <si>
    <t>크리데미지</t>
  </si>
  <si>
    <t>방어율 무시</t>
  </si>
  <si>
    <t>오라 웨폰</t>
  </si>
  <si>
    <t>오펜시브 디펜스</t>
  </si>
  <si>
    <t>총 퍼뎀</t>
  </si>
  <si>
    <t>스킬명</t>
  </si>
  <si>
    <t>로얄 가드</t>
  </si>
  <si>
    <t>파이널 어택</t>
  </si>
  <si>
    <t>소드 오브
소울 라이트</t>
  </si>
  <si>
    <t>라이트 오브
커리지</t>
  </si>
  <si>
    <t>시그너스
팔랑크스</t>
  </si>
  <si>
    <t>소울 라이트
슬래시</t>
  </si>
  <si>
    <t>소울 마제스티</t>
  </si>
  <si>
    <t>샤이닝 크로스
어썰트</t>
  </si>
  <si>
    <t>크레스트 오브
더 솔라</t>
  </si>
  <si>
    <t>스파이더
인 미러</t>
  </si>
  <si>
    <t>듀란달</t>
  </si>
  <si>
    <t>라이트 포스레이</t>
  </si>
  <si>
    <t>소드 오브
소울라이트</t>
  </si>
  <si>
    <t>각 버프 지속 중 보공 1%당 증가하는 데미지</t>
  </si>
  <si>
    <t>인스톨 실드</t>
  </si>
  <si>
    <t>데들리 차지</t>
  </si>
  <si>
    <t>데차 검기</t>
  </si>
  <si>
    <t>데미지</t>
  </si>
  <si>
    <t>사용 횟수</t>
  </si>
  <si>
    <t>점유율</t>
  </si>
  <si>
    <t>계</t>
  </si>
  <si>
    <t>컨티 적용 방안</t>
  </si>
  <si>
    <t>라포레, 듀란달, 라오커 : 온전히 적용</t>
  </si>
  <si>
    <t>어썰트, 데차, 클솔 : 컨티 수치의 3분의 2만 적용</t>
  </si>
  <si>
    <t>마제스티, 소라슬, 검의 잔상 : 2 컨티 가동 시간(16초)에 해당하는 횟수만 적용</t>
  </si>
  <si>
    <t>나머지 : 컨티 수치의 3분의 2만 적용</t>
  </si>
  <si>
    <t>나머지 시간</t>
  </si>
  <si>
    <t>보총뎀 + 상추</t>
  </si>
  <si>
    <t>캐릭터 스펙</t>
  </si>
  <si>
    <t>측정 환경</t>
  </si>
  <si>
    <t>리레</t>
  </si>
  <si>
    <t>컨티</t>
  </si>
  <si>
    <t>레벨</t>
  </si>
  <si>
    <t>수치</t>
  </si>
  <si>
    <t>공 95%</t>
  </si>
  <si>
    <t>공 80%</t>
  </si>
  <si>
    <t>보공 140%
공 10%</t>
  </si>
  <si>
    <t>보공 160%
공 12%</t>
  </si>
  <si>
    <t>보공 195%
공 14%</t>
  </si>
  <si>
    <t>15 / 120</t>
  </si>
  <si>
    <t>20 / 120</t>
  </si>
  <si>
    <t>지속 / 쿨</t>
  </si>
  <si>
    <t>시드링 효율</t>
    <phoneticPr fontId="3" type="noConversion"/>
  </si>
  <si>
    <t>컨티</t>
    <phoneticPr fontId="3" type="noConversion"/>
  </si>
  <si>
    <t>리레</t>
    <phoneticPr fontId="3" type="noConversion"/>
  </si>
  <si>
    <t>어센트 스킬, 해방무적, 바인드, 소울스킬 사용 X</t>
    <phoneticPr fontId="3" type="noConversion"/>
  </si>
  <si>
    <t>데차 : 일반 2+2+2   강화 1+1+1</t>
    <phoneticPr fontId="3" type="noConversion"/>
  </si>
  <si>
    <t>스인미, 크오솔은 1번만 사용</t>
    <phoneticPr fontId="3" type="noConversion"/>
  </si>
  <si>
    <t>딜링 방식은 시드링 착용할 때와 동일하게 5분 40초 동안</t>
    <phoneticPr fontId="3" type="noConversion"/>
  </si>
  <si>
    <t>오펜시브, 마제스티 : 24</t>
    <phoneticPr fontId="3" type="noConversion"/>
  </si>
  <si>
    <t>검의 잔상 : 57</t>
    <phoneticPr fontId="3" type="noConversion"/>
  </si>
  <si>
    <t>오라웨폰 : 9</t>
    <phoneticPr fontId="3" type="noConversion"/>
  </si>
  <si>
    <t>5차 스킬은 전부 강화했을 때 기준</t>
    <phoneticPr fontId="3" type="noConversion"/>
  </si>
  <si>
    <t>사용법 및 주의사항</t>
    <phoneticPr fontId="3" type="noConversion"/>
  </si>
  <si>
    <t>스인미, 크오솔 퍼뎀은 소환물의 퍼뎀만을 나타냄</t>
    <phoneticPr fontId="3" type="noConversion"/>
  </si>
  <si>
    <t>캐릭터 스펙 : 5분 40초 측정하기 전 도핑 및 가동률 100% 자버프 사용 후 캐릭터 정보 창에서 찾아 기입</t>
    <phoneticPr fontId="3" type="noConversion"/>
  </si>
  <si>
    <t>스킬 데미지 : 측정 완료 후 전투분석 창 누적데미지에 마우스 커서를 올리면 나오는 값 입력</t>
    <phoneticPr fontId="3" type="noConversion"/>
  </si>
  <si>
    <t>사용 횟수 : 라오커, 라포레, 듀란달은 수정 금지</t>
    <phoneticPr fontId="3" type="noConversion"/>
  </si>
  <si>
    <t>스인미 : 10</t>
    <phoneticPr fontId="3" type="noConversion"/>
  </si>
  <si>
    <t>크오솔 : 9</t>
    <phoneticPr fontId="3" type="noConversion"/>
  </si>
  <si>
    <t>파이널 어택 : 소오소라 지속 중 횟수의 20/24</t>
    <phoneticPr fontId="3" type="noConversion"/>
  </si>
  <si>
    <t>팔랑크스 : 170</t>
    <phoneticPr fontId="3" type="noConversion"/>
  </si>
  <si>
    <t>레벨</t>
    <phoneticPr fontId="3" type="noConversion"/>
  </si>
  <si>
    <t>효율</t>
    <phoneticPr fontId="3" type="noConversion"/>
  </si>
  <si>
    <t>리레 적용 방안(20초, 아래 횟수로 고정 적용)</t>
    <phoneticPr fontId="3" type="noConversion"/>
  </si>
  <si>
    <t>→</t>
    <phoneticPr fontId="3" type="noConversion"/>
  </si>
  <si>
    <t>클솔 : 2+3+3</t>
    <phoneticPr fontId="3" type="noConversion"/>
  </si>
  <si>
    <t>본 계산기는 허수아비 기준으로, 컨트롤이나 보스의 상황 등으로 인해 계산기의 값과 달라질 수 있음</t>
    <phoneticPr fontId="3" type="noConversion"/>
  </si>
  <si>
    <t>리레에 적용되는 스킬 데미지, 횟수</t>
    <phoneticPr fontId="3" type="noConversion"/>
  </si>
  <si>
    <t>스킬명</t>
    <phoneticPr fontId="3" type="noConversion"/>
  </si>
  <si>
    <t>데미지</t>
    <phoneticPr fontId="3" type="noConversion"/>
  </si>
  <si>
    <t>횟수</t>
    <phoneticPr fontId="3" type="noConversion"/>
  </si>
  <si>
    <t>가드 : 전체 횟수 중 60초에 해당하는 비율만큼의 횟수</t>
    <phoneticPr fontId="3" type="noConversion"/>
  </si>
  <si>
    <t xml:space="preserve">                   자동으로 조 단위로 바뀜. 만약 값이 기본 단위보다 작아서 0.000조로 표시되어도 기능은 정상 작동하니 놀라지 마시길</t>
    <phoneticPr fontId="3" type="noConversion"/>
  </si>
  <si>
    <t>회색 셀은 건드리지 말 것!</t>
    <phoneticPr fontId="3" type="noConversion"/>
  </si>
  <si>
    <t>시드링 착용 해제 후 그 자리 비운 상태로 전분 측정바람</t>
    <phoneticPr fontId="3" type="noConversion"/>
  </si>
  <si>
    <r>
      <t xml:space="preserve">레벨 1, 보스, 방어율 380, 체력 무제한, </t>
    </r>
    <r>
      <rPr>
        <b/>
        <sz val="11"/>
        <color theme="1"/>
        <rFont val="맑은 고딕"/>
        <family val="3"/>
        <charset val="129"/>
        <scheme val="minor"/>
      </rPr>
      <t>비반감</t>
    </r>
    <r>
      <rPr>
        <sz val="11"/>
        <color theme="1"/>
        <rFont val="맑은 고딕"/>
        <family val="2"/>
        <charset val="129"/>
        <scheme val="minor"/>
      </rPr>
      <t>으로 설정</t>
    </r>
    <phoneticPr fontId="3" type="noConversion"/>
  </si>
  <si>
    <t>인스톨 실드 : 30</t>
    <phoneticPr fontId="3" type="noConversion"/>
  </si>
  <si>
    <t>라오커 3회
미적용시</t>
    <phoneticPr fontId="3" type="noConversion"/>
  </si>
  <si>
    <t>로 아이아스</t>
    <phoneticPr fontId="3" type="noConversion"/>
  </si>
  <si>
    <t>5, 6레벨</t>
    <phoneticPr fontId="3" type="noConversion"/>
  </si>
  <si>
    <t>4레벨</t>
    <phoneticPr fontId="3" type="noConversion"/>
  </si>
  <si>
    <t>슬래시 : 17+25+25</t>
    <phoneticPr fontId="3" type="noConversion"/>
  </si>
  <si>
    <t>(인커리지, 쓸샾, 쓸컴뱃, 도핑 적용
가드 0스택, 콜렉터의 영약 제외)</t>
    <phoneticPr fontId="3" type="noConversion"/>
  </si>
  <si>
    <t>수정일자</t>
    <phoneticPr fontId="3" type="noConversion"/>
  </si>
  <si>
    <t>캐릭터 스펙 및 그 옆 표에서 흰색 셀 부분만을 기입하면, 자동으로 컨티와 리레 효율 출력</t>
    <phoneticPr fontId="3" type="noConversion"/>
  </si>
  <si>
    <t>캐릭터 스펙 : 도핑 및 가동률 100% 자버프 사용 후 캐릭터 정보 창에서 찾아 기입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</si>
</sst>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);[Red]\(#,##0\)"/>
    <numFmt numFmtId="177" formatCode="0_);[Red]\(0\)"/>
    <numFmt numFmtId="178" formatCode="mm&quot;월&quot;\ dd&quot;일&quot;"/>
    <numFmt numFmtId="179" formatCode="##,##0.000,,,,&quot;조&quot;"/>
    <numFmt numFmtId="180" formatCode="##,##0.0000,,,,&quot;조&quot;"/>
    <numFmt numFmtId="182" formatCode="yyyy&quot;/&quot;m&quot;/&quot;d;@"/>
  </numFmts>
  <fonts count="8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 diagonalUp="1"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 style="thin">
        <color rgb="FF000000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 diagonalUp="1"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 style="thin">
        <color rgb="FF000000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0" fontId="0" fillId="4" borderId="24" xfId="0" applyNumberForma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10" fontId="0" fillId="0" borderId="0" xfId="0" applyNumberFormat="1" applyAlignment="1">
      <alignment horizontal="left" vertical="center"/>
    </xf>
    <xf numFmtId="180" fontId="0" fillId="0" borderId="14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 wrapText="1"/>
    </xf>
    <xf numFmtId="180" fontId="0" fillId="4" borderId="22" xfId="0" applyNumberFormat="1" applyFill="1" applyBorder="1" applyAlignment="1">
      <alignment horizontal="center" vertical="center"/>
    </xf>
    <xf numFmtId="180" fontId="0" fillId="4" borderId="14" xfId="0" applyNumberFormat="1" applyFill="1" applyBorder="1" applyAlignment="1">
      <alignment horizontal="center" vertical="center"/>
    </xf>
    <xf numFmtId="180" fontId="0" fillId="4" borderId="27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0" fillId="4" borderId="41" xfId="0" applyNumberFormat="1" applyFill="1" applyBorder="1" applyAlignment="1">
      <alignment horizontal="center" vertical="center"/>
    </xf>
    <xf numFmtId="177" fontId="0" fillId="4" borderId="42" xfId="0" applyNumberFormat="1" applyFill="1" applyBorder="1" applyAlignment="1">
      <alignment horizontal="center" vertical="center"/>
    </xf>
    <xf numFmtId="177" fontId="0" fillId="4" borderId="43" xfId="0" applyNumberFormat="1" applyFill="1" applyBorder="1" applyAlignment="1">
      <alignment horizontal="center" vertical="center"/>
    </xf>
    <xf numFmtId="177" fontId="0" fillId="4" borderId="44" xfId="0" applyNumberFormat="1" applyFill="1" applyBorder="1" applyAlignment="1">
      <alignment horizontal="center" vertical="center"/>
    </xf>
    <xf numFmtId="177" fontId="0" fillId="4" borderId="45" xfId="0" applyNumberFormat="1" applyFill="1" applyBorder="1" applyAlignment="1">
      <alignment horizontal="center" vertical="center"/>
    </xf>
    <xf numFmtId="177" fontId="0" fillId="4" borderId="46" xfId="0" applyNumberFormat="1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0" xfId="0" applyAlignment="1">
      <alignment vertical="center" wrapText="1"/>
    </xf>
    <xf numFmtId="0" fontId="4" fillId="5" borderId="44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10" fontId="0" fillId="4" borderId="48" xfId="0" applyNumberFormat="1" applyFill="1" applyBorder="1" applyAlignment="1">
      <alignment horizontal="center" vertical="center"/>
    </xf>
    <xf numFmtId="10" fontId="0" fillId="4" borderId="49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46" xfId="0" applyFill="1" applyBorder="1" applyAlignment="1">
      <alignment horizontal="center" vertical="center" wrapText="1"/>
    </xf>
    <xf numFmtId="0" fontId="0" fillId="4" borderId="46" xfId="0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horizontal="center" vertical="center"/>
    </xf>
    <xf numFmtId="0" fontId="1" fillId="5" borderId="79" xfId="0" applyFont="1" applyFill="1" applyBorder="1" applyAlignment="1">
      <alignment horizontal="center" vertical="center"/>
    </xf>
    <xf numFmtId="0" fontId="1" fillId="5" borderId="77" xfId="0" applyFont="1" applyFill="1" applyBorder="1" applyAlignment="1">
      <alignment horizontal="center" vertical="center" wrapText="1"/>
    </xf>
    <xf numFmtId="180" fontId="0" fillId="4" borderId="81" xfId="0" applyNumberFormat="1" applyFill="1" applyBorder="1" applyAlignment="1">
      <alignment horizontal="center" vertical="center"/>
    </xf>
    <xf numFmtId="0" fontId="1" fillId="5" borderId="82" xfId="0" applyFont="1" applyFill="1" applyBorder="1" applyAlignment="1">
      <alignment horizontal="center" vertical="center"/>
    </xf>
    <xf numFmtId="0" fontId="1" fillId="5" borderId="82" xfId="0" applyFont="1" applyFill="1" applyBorder="1" applyAlignment="1">
      <alignment horizontal="center" vertical="center" wrapText="1"/>
    </xf>
    <xf numFmtId="0" fontId="1" fillId="5" borderId="83" xfId="0" applyFont="1" applyFill="1" applyBorder="1" applyAlignment="1">
      <alignment horizontal="center" vertical="center"/>
    </xf>
    <xf numFmtId="180" fontId="0" fillId="7" borderId="84" xfId="0" applyNumberFormat="1" applyFill="1" applyBorder="1" applyAlignment="1">
      <alignment horizontal="center" vertical="center"/>
    </xf>
    <xf numFmtId="0" fontId="0" fillId="4" borderId="84" xfId="0" applyFill="1" applyBorder="1" applyAlignment="1">
      <alignment horizontal="center" vertical="center"/>
    </xf>
    <xf numFmtId="10" fontId="0" fillId="4" borderId="85" xfId="0" applyNumberFormat="1" applyFill="1" applyBorder="1" applyAlignment="1">
      <alignment horizontal="center" vertical="center" wrapText="1"/>
    </xf>
    <xf numFmtId="179" fontId="0" fillId="4" borderId="86" xfId="0" applyNumberFormat="1" applyFill="1" applyBorder="1" applyAlignment="1">
      <alignment horizontal="center" vertical="center"/>
    </xf>
    <xf numFmtId="179" fontId="0" fillId="4" borderId="84" xfId="0" applyNumberFormat="1" applyFill="1" applyBorder="1" applyAlignment="1">
      <alignment horizontal="center" vertical="center"/>
    </xf>
    <xf numFmtId="179" fontId="0" fillId="4" borderId="87" xfId="0" applyNumberFormat="1" applyFill="1" applyBorder="1" applyAlignment="1">
      <alignment horizontal="center" vertical="center"/>
    </xf>
    <xf numFmtId="179" fontId="0" fillId="4" borderId="88" xfId="0" applyNumberForma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91" xfId="0" applyFill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4" borderId="96" xfId="0" applyFill="1" applyBorder="1" applyAlignment="1">
      <alignment horizontal="center" vertical="center"/>
    </xf>
    <xf numFmtId="0" fontId="0" fillId="4" borderId="97" xfId="0" applyFill="1" applyBorder="1" applyAlignment="1">
      <alignment horizontal="center" vertical="center"/>
    </xf>
    <xf numFmtId="0" fontId="0" fillId="0" borderId="51" xfId="0" applyBorder="1">
      <alignment vertical="center"/>
    </xf>
    <xf numFmtId="0" fontId="1" fillId="5" borderId="98" xfId="0" applyFont="1" applyFill="1" applyBorder="1" applyAlignment="1">
      <alignment horizontal="center" vertical="center" wrapText="1"/>
    </xf>
    <xf numFmtId="0" fontId="1" fillId="5" borderId="98" xfId="0" applyFont="1" applyFill="1" applyBorder="1" applyAlignment="1">
      <alignment horizontal="center" vertical="center"/>
    </xf>
    <xf numFmtId="0" fontId="1" fillId="5" borderId="99" xfId="0" applyFont="1" applyFill="1" applyBorder="1" applyAlignment="1">
      <alignment horizontal="center" vertical="center"/>
    </xf>
    <xf numFmtId="0" fontId="4" fillId="5" borderId="100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 wrapText="1"/>
    </xf>
    <xf numFmtId="180" fontId="0" fillId="4" borderId="55" xfId="0" applyNumberFormat="1" applyFill="1" applyBorder="1" applyAlignment="1">
      <alignment horizontal="center" vertical="center"/>
    </xf>
    <xf numFmtId="180" fontId="0" fillId="4" borderId="55" xfId="0" applyNumberFormat="1" applyFill="1" applyBorder="1" applyAlignment="1">
      <alignment horizontal="center" vertical="center" wrapText="1"/>
    </xf>
    <xf numFmtId="180" fontId="0" fillId="4" borderId="56" xfId="0" applyNumberForma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 wrapText="1"/>
    </xf>
    <xf numFmtId="180" fontId="0" fillId="4" borderId="45" xfId="0" applyNumberFormat="1" applyFill="1" applyBorder="1" applyAlignment="1">
      <alignment horizontal="center" vertical="center"/>
    </xf>
    <xf numFmtId="180" fontId="0" fillId="4" borderId="45" xfId="0" applyNumberFormat="1" applyFill="1" applyBorder="1" applyAlignment="1">
      <alignment horizontal="center" vertical="center" wrapText="1"/>
    </xf>
    <xf numFmtId="180" fontId="0" fillId="4" borderId="47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0" fillId="0" borderId="95" xfId="0" applyBorder="1" applyAlignment="1">
      <alignment horizontal="center" vertical="center"/>
    </xf>
    <xf numFmtId="0" fontId="2" fillId="5" borderId="67" xfId="0" applyFont="1" applyFill="1" applyBorder="1" applyAlignment="1">
      <alignment horizontal="center" vertical="center"/>
    </xf>
    <xf numFmtId="0" fontId="2" fillId="5" borderId="75" xfId="0" applyFont="1" applyFill="1" applyBorder="1" applyAlignment="1">
      <alignment horizontal="center" vertical="center"/>
    </xf>
    <xf numFmtId="0" fontId="2" fillId="5" borderId="77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78" fontId="0" fillId="4" borderId="18" xfId="0" applyNumberFormat="1" applyFill="1" applyBorder="1" applyAlignment="1">
      <alignment horizontal="center" vertical="center"/>
    </xf>
    <xf numFmtId="178" fontId="0" fillId="4" borderId="19" xfId="0" applyNumberFormat="1" applyFill="1" applyBorder="1" applyAlignment="1">
      <alignment horizontal="center" vertical="center"/>
    </xf>
    <xf numFmtId="178" fontId="0" fillId="4" borderId="29" xfId="0" applyNumberForma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2" fillId="5" borderId="68" xfId="0" applyFont="1" applyFill="1" applyBorder="1" applyAlignment="1">
      <alignment horizontal="center" vertical="center" wrapText="1"/>
    </xf>
    <xf numFmtId="0" fontId="2" fillId="5" borderId="59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2" fillId="5" borderId="72" xfId="0" applyFont="1" applyFill="1" applyBorder="1" applyAlignment="1">
      <alignment horizontal="center" vertical="center"/>
    </xf>
    <xf numFmtId="0" fontId="2" fillId="5" borderId="73" xfId="0" applyFont="1" applyFill="1" applyBorder="1" applyAlignment="1">
      <alignment horizontal="center" vertical="center"/>
    </xf>
    <xf numFmtId="0" fontId="2" fillId="5" borderId="74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5" borderId="76" xfId="0" applyFont="1" applyFill="1" applyBorder="1" applyAlignment="1">
      <alignment horizontal="center" vertical="center"/>
    </xf>
    <xf numFmtId="0" fontId="1" fillId="5" borderId="78" xfId="0" applyFont="1" applyFill="1" applyBorder="1" applyAlignment="1">
      <alignment horizontal="center" vertical="center"/>
    </xf>
    <xf numFmtId="0" fontId="1" fillId="5" borderId="8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0" fontId="2" fillId="5" borderId="70" xfId="0" applyFont="1" applyFill="1" applyBorder="1" applyAlignment="1">
      <alignment horizontal="center" vertical="center"/>
    </xf>
    <xf numFmtId="0" fontId="2" fillId="5" borderId="71" xfId="0" applyFont="1" applyFill="1" applyBorder="1" applyAlignment="1">
      <alignment horizontal="center" vertical="center"/>
    </xf>
    <xf numFmtId="0" fontId="2" fillId="5" borderId="92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5" borderId="93" xfId="0" applyFont="1" applyFill="1" applyBorder="1" applyAlignment="1">
      <alignment horizontal="center" vertical="center"/>
    </xf>
    <xf numFmtId="0" fontId="2" fillId="5" borderId="69" xfId="0" applyFont="1" applyFill="1" applyBorder="1" applyAlignment="1">
      <alignment horizontal="center" vertical="center"/>
    </xf>
    <xf numFmtId="0" fontId="2" fillId="5" borderId="58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68" xfId="0" applyFont="1" applyFill="1" applyBorder="1" applyAlignment="1">
      <alignment horizontal="center" vertical="center"/>
    </xf>
    <xf numFmtId="0" fontId="2" fillId="5" borderId="59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9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90" xfId="0" applyFon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3" xfId="0" applyFont="1" applyFill="1" applyBorder="1" applyAlignment="1">
      <alignment horizontal="center" vertical="center"/>
    </xf>
    <xf numFmtId="0" fontId="4" fillId="5" borderId="64" xfId="0" applyFont="1" applyFill="1" applyBorder="1" applyAlignment="1">
      <alignment horizontal="center" vertical="center"/>
    </xf>
    <xf numFmtId="0" fontId="4" fillId="5" borderId="6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4" borderId="16" xfId="0" applyNumberFormat="1" applyFill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82" fontId="7" fillId="0" borderId="0" xfId="0" applyNumberFormat="1" applyFont="1" applyAlignment="1">
      <alignment horizontal="center" vertical="top"/>
    </xf>
    <xf numFmtId="180" fontId="0" fillId="4" borderId="14" xfId="0" applyNumberForma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18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61" xfId="0" applyFont="1" applyFill="1" applyBorder="1">
      <alignment vertical="center"/>
    </xf>
    <xf numFmtId="0" fontId="2" fillId="4" borderId="60" xfId="0" applyFont="1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1D25-1CC1-4703-90EF-2D45B9BB3D25}">
  <dimension ref="B1:AD112"/>
  <sheetViews>
    <sheetView showGridLines="0" tabSelected="1" zoomScale="85" zoomScaleNormal="85" zoomScaleSheetLayoutView="100" workbookViewId="0">
      <selection activeCell="B1" sqref="B1:D1"/>
    </sheetView>
  </sheetViews>
  <sheetFormatPr defaultRowHeight="16.5" x14ac:dyDescent="0.3"/>
  <cols>
    <col min="1" max="1" width="3.625" customWidth="1"/>
    <col min="2" max="5" width="12.625" style="1" customWidth="1"/>
    <col min="6" max="6" width="9" style="1"/>
    <col min="7" max="7" width="14.375" bestFit="1" customWidth="1"/>
    <col min="8" max="8" width="15.625" customWidth="1"/>
    <col min="9" max="11" width="10.625" customWidth="1"/>
    <col min="12" max="12" width="10.625" hidden="1" customWidth="1"/>
    <col min="13" max="15" width="12.625" hidden="1" customWidth="1"/>
    <col min="16" max="20" width="15.625" hidden="1" customWidth="1"/>
    <col min="21" max="21" width="15.625" customWidth="1"/>
    <col min="22" max="22" width="10.625" customWidth="1"/>
    <col min="23" max="30" width="10.625" style="2" customWidth="1"/>
  </cols>
  <sheetData>
    <row r="1" spans="2:30" ht="33" customHeight="1" x14ac:dyDescent="0.3">
      <c r="B1" s="150" t="s">
        <v>45</v>
      </c>
      <c r="C1" s="150"/>
      <c r="D1" s="150"/>
      <c r="E1" s="183" t="s">
        <v>101</v>
      </c>
      <c r="G1" s="114" t="s">
        <v>16</v>
      </c>
      <c r="H1" s="136" t="s">
        <v>34</v>
      </c>
      <c r="I1" s="161" t="s">
        <v>35</v>
      </c>
      <c r="J1" s="158" t="s">
        <v>36</v>
      </c>
      <c r="K1" s="155" t="s">
        <v>0</v>
      </c>
      <c r="L1" s="164" t="s">
        <v>15</v>
      </c>
      <c r="M1" s="153" t="s">
        <v>1</v>
      </c>
      <c r="N1" s="153"/>
      <c r="O1" s="154"/>
      <c r="P1" s="141" t="s">
        <v>30</v>
      </c>
      <c r="Q1" s="142"/>
      <c r="R1" s="142"/>
      <c r="S1" s="142"/>
      <c r="T1" s="143"/>
      <c r="U1" s="1"/>
      <c r="V1" s="191"/>
      <c r="W1" s="103" t="s">
        <v>47</v>
      </c>
      <c r="X1" s="104"/>
      <c r="Y1" s="105"/>
      <c r="Z1" s="103" t="s">
        <v>48</v>
      </c>
      <c r="AA1" s="104"/>
      <c r="AB1" s="106"/>
      <c r="AD1"/>
    </row>
    <row r="2" spans="2:30" ht="33" customHeight="1" thickBot="1" x14ac:dyDescent="0.35">
      <c r="B2" s="139" t="s">
        <v>100</v>
      </c>
      <c r="C2" s="140"/>
      <c r="D2" s="140"/>
      <c r="E2" s="184">
        <v>45863</v>
      </c>
      <c r="G2" s="115"/>
      <c r="H2" s="137"/>
      <c r="I2" s="162"/>
      <c r="J2" s="159"/>
      <c r="K2" s="156"/>
      <c r="L2" s="165"/>
      <c r="M2" s="12" t="s">
        <v>29</v>
      </c>
      <c r="N2" s="117"/>
      <c r="O2" s="167"/>
      <c r="P2" s="13"/>
      <c r="Q2" s="117"/>
      <c r="R2" s="118"/>
      <c r="S2" s="144" t="s">
        <v>43</v>
      </c>
      <c r="T2" s="147" t="s">
        <v>37</v>
      </c>
      <c r="U2" s="1"/>
      <c r="V2" s="20" t="s">
        <v>49</v>
      </c>
      <c r="W2" s="58">
        <v>4</v>
      </c>
      <c r="X2" s="58">
        <v>5</v>
      </c>
      <c r="Y2" s="58">
        <v>6</v>
      </c>
      <c r="Z2" s="58">
        <v>4</v>
      </c>
      <c r="AA2" s="58">
        <v>5</v>
      </c>
      <c r="AB2" s="59">
        <v>6</v>
      </c>
      <c r="AD2"/>
    </row>
    <row r="3" spans="2:30" ht="33" customHeight="1" x14ac:dyDescent="0.3">
      <c r="B3" s="151" t="s">
        <v>2</v>
      </c>
      <c r="C3" s="22" t="s">
        <v>3</v>
      </c>
      <c r="D3" s="6"/>
      <c r="G3" s="116"/>
      <c r="H3" s="138"/>
      <c r="I3" s="163"/>
      <c r="J3" s="160"/>
      <c r="K3" s="157"/>
      <c r="L3" s="165"/>
      <c r="M3" s="133" t="s">
        <v>4</v>
      </c>
      <c r="N3" s="133"/>
      <c r="O3" s="17"/>
      <c r="P3" s="128"/>
      <c r="Q3" s="129"/>
      <c r="R3" s="16"/>
      <c r="S3" s="145"/>
      <c r="T3" s="148"/>
      <c r="U3" s="1"/>
      <c r="V3" s="20" t="s">
        <v>50</v>
      </c>
      <c r="W3" s="16" t="s">
        <v>52</v>
      </c>
      <c r="X3" s="117" t="s">
        <v>51</v>
      </c>
      <c r="Y3" s="118"/>
      <c r="Z3" s="18" t="s">
        <v>53</v>
      </c>
      <c r="AA3" s="18" t="s">
        <v>54</v>
      </c>
      <c r="AB3" s="60" t="s">
        <v>55</v>
      </c>
      <c r="AD3"/>
    </row>
    <row r="4" spans="2:30" ht="33" customHeight="1" thickBot="1" x14ac:dyDescent="0.35">
      <c r="B4" s="125"/>
      <c r="C4" s="23" t="s">
        <v>5</v>
      </c>
      <c r="D4" s="7"/>
      <c r="G4" s="67" t="s">
        <v>96</v>
      </c>
      <c r="H4" s="189"/>
      <c r="I4" s="189"/>
      <c r="J4" s="190"/>
      <c r="K4" s="83"/>
      <c r="L4" s="166"/>
      <c r="M4" s="134" t="s">
        <v>6</v>
      </c>
      <c r="N4" s="134"/>
      <c r="O4" s="135"/>
      <c r="P4" s="130"/>
      <c r="Q4" s="130"/>
      <c r="R4" s="131"/>
      <c r="S4" s="146"/>
      <c r="T4" s="149"/>
      <c r="U4" s="1"/>
      <c r="V4" s="21" t="s">
        <v>58</v>
      </c>
      <c r="W4" s="47" t="s">
        <v>56</v>
      </c>
      <c r="X4" s="122" t="s">
        <v>57</v>
      </c>
      <c r="Y4" s="123"/>
      <c r="Z4" s="119" t="str">
        <f>"8 / 12"</f>
        <v>8 / 12</v>
      </c>
      <c r="AA4" s="120"/>
      <c r="AB4" s="121"/>
      <c r="AD4"/>
    </row>
    <row r="5" spans="2:30" ht="33" customHeight="1" thickBot="1" x14ac:dyDescent="0.35">
      <c r="B5" s="152"/>
      <c r="C5" s="24" t="s">
        <v>7</v>
      </c>
      <c r="D5" s="15"/>
      <c r="G5" s="68" t="s">
        <v>24</v>
      </c>
      <c r="H5" s="185">
        <f>T5*기준표!U5+(T5*($D$13-기준표!$D$13))</f>
        <v>0</v>
      </c>
      <c r="I5" s="186">
        <v>403</v>
      </c>
      <c r="J5" s="19" t="e">
        <f>H5/$H$23</f>
        <v>#NUM!</v>
      </c>
      <c r="K5" s="84"/>
      <c r="L5" s="80">
        <f>2.2*(350+6*$K$5)*11</f>
        <v>8470.0000000000018</v>
      </c>
      <c r="M5" s="39">
        <v>0</v>
      </c>
      <c r="N5" s="40">
        <f>ROUNDDOWN(I5/89*(65+3-24+ROUNDUP($K$4/2,0)),0)</f>
        <v>199</v>
      </c>
      <c r="O5" s="41">
        <f>ROUNDDOWN(I5/89*(94-(65+ROUNDUP($K$4/2,0))),0)</f>
        <v>131</v>
      </c>
      <c r="P5" s="34">
        <f t="shared" ref="P5:P22" si="0">(ROUNDDOWN($D$3*($D$4+100)/100+$D$5,0)*4+ROUNDDOWN($D$6*($D$7+100)/100+$D$8,0))*0.01*ROUNDDOWN(($D$9+100)*($D$10+100)/100,0)*($D$11+135)/100*0.955*1.24*(1.25*1.2*1.25*1.23*1.1)*(1.1*(134+ROUNDDOWN($K$4/5,0))/100*1.06)*1.2*$L5/100*M5*0.01</f>
        <v>0</v>
      </c>
      <c r="Q5" s="35">
        <f>(ROUNDDOWN($D$3*($D$4+100)/100+$D$5,0)*4+ROUNDDOWN($D$6*($D$7+100)/100+$D$8,0))*0.01*ROUNDDOWN(($D$9+100)*($D$10+100)/100,0)*($D$11+135)/100*0.955*1.24*(1.25*1.2*1.25*1.23*1.1)*((134+ROUNDDOWN($K$4/5,0))/100*1.06)*1.2*$L5/100*N5*0.01*(1-(3.8*0.84*0.8*0.8*(100-$D$12)/100))</f>
        <v>0</v>
      </c>
      <c r="R5" s="35">
        <f>(ROUNDDOWN($D$3*($D$4+100)/100+$D$5,0)*4+ROUNDDOWN($D$6*($D$7+100)/100+$D$8,0))*0.01*ROUNDDOWN(($D$9+100)*($D$10+100)/100,0)*($D$11+135)/100*0.955*1.24*(1.25*1.2*1.25*1.23*1.1)*(1.06)*1.2*$L5/100*O5*0.01*(1-(3.8*0.84*0.8*0.8*(100-$D$12)/100))</f>
        <v>0</v>
      </c>
      <c r="S5" s="36">
        <f>(ROUNDDOWN($D$3*($D$4+100)/100+$D$5,0)*4+ROUNDDOWN($D$6*($D$7+100)/100+$D$8,0))*0.01*ROUNDDOWN(($D$9+100)*($D$10+100)/100,0)*($D$11+135)/100*0.955*1.24*(1.25*1.2*1.25*1.23*1.1)*(1.06)*1.2*$L5/100*(I5-M5-N5-O5)*0.01*(1-(3.8*0.8*0.8*(100-$D$12)/100))</f>
        <v>0</v>
      </c>
      <c r="T5" s="69">
        <f t="shared" ref="T5:T22" si="1">SUM(P5:S5)</f>
        <v>0</v>
      </c>
      <c r="U5" s="3"/>
      <c r="V5" s="2"/>
      <c r="AD5"/>
    </row>
    <row r="6" spans="2:30" ht="33" customHeight="1" thickTop="1" x14ac:dyDescent="0.3">
      <c r="B6" s="124" t="s">
        <v>8</v>
      </c>
      <c r="C6" s="25" t="s">
        <v>3</v>
      </c>
      <c r="D6" s="14"/>
      <c r="G6" s="70" t="s">
        <v>31</v>
      </c>
      <c r="H6" s="185">
        <f>T6*기준표!U6+(T6*($D$13-기준표!$D$13))</f>
        <v>0</v>
      </c>
      <c r="I6" s="16">
        <v>166</v>
      </c>
      <c r="J6" s="19" t="e">
        <f>H6/$H$23</f>
        <v>#NUM!</v>
      </c>
      <c r="K6" s="113"/>
      <c r="L6" s="81">
        <f>2.2*(243+8*$K$6)*4</f>
        <v>2138.4</v>
      </c>
      <c r="M6" s="42">
        <f>ROUNDDOWN(I6/113*24,0)</f>
        <v>35</v>
      </c>
      <c r="N6" s="38">
        <f>ROUNDDOWN(I6/113*(65+3-24+ROUNDUP($K$4/2,0)),0)</f>
        <v>64</v>
      </c>
      <c r="O6" s="43">
        <f>ROUNDDOWN(I6/113*(94-(65+ROUNDUP($K$4/2,0))),0)</f>
        <v>42</v>
      </c>
      <c r="P6" s="34">
        <f t="shared" si="0"/>
        <v>0</v>
      </c>
      <c r="Q6" s="35">
        <f>(ROUNDDOWN($D$3*($D$4+100)/100+$D$5,0)*4+ROUNDDOWN($D$6*($D$7+100)/100+$D$8,0))*0.01*ROUNDDOWN(($D$9+100)*($D$10+100)/100,0)*($D$11+135)/100*0.955*1.24*(1.25*1.2*1.25*1.23*1.1)*((134+ROUNDDOWN($K$4/5,0))/100*1.06)*1.2*$L6/100*N6*0.01*(1-(3.8*0.84*0.8*(100-$D$12)/100))</f>
        <v>0</v>
      </c>
      <c r="R6" s="35">
        <f>(ROUNDDOWN($D$3*($D$4+100)/100+$D$5,0)*4+ROUNDDOWN($D$6*($D$7+100)/100+$D$8,0))*0.01*ROUNDDOWN(($D$9+100)*($D$10+100)/100,0)*($D$11+135)/100*0.955*1.24*(1.25*1.2*1.25*1.23*1.1)*(1.06)*1.2*$L6/100*O6*0.01*(1-(3.8*0.84*0.8*(100-$D$12)/100))</f>
        <v>0</v>
      </c>
      <c r="S6" s="36">
        <f>(ROUNDDOWN($D$3*($D$4+100)/100+$D$5,0)*4+ROUNDDOWN($D$6*($D$7+100)/100+$D$8,0))*0.01*ROUNDDOWN(($D$9+100)*($D$10+100)/100,0)*($D$11+135)/100*0.955*1.24*(1.25*1.2*1.25*1.23*1.1)*(1.06)*1.2*$L6/100*(I6-M6-N6-O6)*0.01*(1-(3.8*0.8*(100-$D$12)/100))</f>
        <v>0</v>
      </c>
      <c r="T6" s="69">
        <f t="shared" si="1"/>
        <v>0</v>
      </c>
      <c r="U6" s="1"/>
      <c r="V6" s="2" t="s">
        <v>38</v>
      </c>
      <c r="AD6"/>
    </row>
    <row r="7" spans="2:30" ht="33" customHeight="1" x14ac:dyDescent="0.3">
      <c r="B7" s="125"/>
      <c r="C7" s="23" t="s">
        <v>5</v>
      </c>
      <c r="D7" s="7"/>
      <c r="G7" s="70" t="s">
        <v>32</v>
      </c>
      <c r="H7" s="187">
        <f>(T7+T8)*기준표!U7+((T7+T8)*($D$13-기준표!$D$13))</f>
        <v>0</v>
      </c>
      <c r="I7" s="188">
        <v>71</v>
      </c>
      <c r="J7" s="173" t="e">
        <f>H7/$H$23</f>
        <v>#NUM!</v>
      </c>
      <c r="K7" s="113"/>
      <c r="L7" s="81">
        <f>2.2*(890+27*$K$6)*10</f>
        <v>19580.000000000004</v>
      </c>
      <c r="M7" s="42">
        <v>6</v>
      </c>
      <c r="N7" s="38">
        <f>ROUNDDOWN(($I$7-5*ROUNDDOWN(I7/8+1,0))/113*(65+3-24+ROUNDUP($K$4/2,0)),0)</f>
        <v>10</v>
      </c>
      <c r="O7" s="43">
        <f>ROUNDDOWN(($I$7-5*ROUNDDOWN(I7/8+1,0))/113*13,0)</f>
        <v>2</v>
      </c>
      <c r="P7" s="34">
        <f t="shared" si="0"/>
        <v>0</v>
      </c>
      <c r="Q7" s="35">
        <f>(ROUNDDOWN($D$3*($D$4+100)/100+$D$5,0)*4+ROUNDDOWN($D$6*($D$7+100)/100+$D$8,0))*0.01*ROUNDDOWN(($D$9+100)*($D$10+100)/100,0)*($D$11+135)/100*0.955*1.24*(1.25*1.2*1.25*1.23*1.1)*((134+ROUNDDOWN($K$4/5,0))/100*1.06)*1.2*$L7/100*N7*0.01*(1-(3.8*0.84*0.8*(100-$D$12)/100))</f>
        <v>0</v>
      </c>
      <c r="R7" s="35">
        <f>(ROUNDDOWN($D$3*($D$4+100)/100+$D$5,0)*4+ROUNDDOWN($D$6*($D$7+100)/100+$D$8,0))*0.01*ROUNDDOWN(($D$9+100)*($D$10+100)/100,0)*($D$11+135)/100*0.955*1.24*(1.25*1.2*1.25*1.23*1.1)*(1.06)*1.2*$L7/100*O7*0.01*(1-(3.8*0.84*0.8*(100-$D$12)/100))</f>
        <v>0</v>
      </c>
      <c r="S7" s="36">
        <f>(ROUNDDOWN($D$3*($D$4+100)/100+$D$5,0)*4+ROUNDDOWN($D$6*($D$7+100)/100+$D$8,0))*0.01*ROUNDDOWN(($D$9+100)*($D$10+100)/100,0)*($D$11+135)/100*0.955*1.24*(1.25*1.2*1.25*1.23*1.1)*(1.06)*1.2*$L7/100*(I7-5*ROUNDDOWN(I7/8+1,0)-M7-N7-O7)*0.01*(1-(3.8*0.8*(100-$D$12)/100))</f>
        <v>0</v>
      </c>
      <c r="T7" s="69">
        <f t="shared" si="1"/>
        <v>0</v>
      </c>
      <c r="U7" s="1"/>
      <c r="V7" s="2" t="s">
        <v>39</v>
      </c>
      <c r="AD7"/>
    </row>
    <row r="8" spans="2:30" ht="33" customHeight="1" thickBot="1" x14ac:dyDescent="0.35">
      <c r="B8" s="126"/>
      <c r="C8" s="26" t="s">
        <v>7</v>
      </c>
      <c r="D8" s="9"/>
      <c r="G8" s="70" t="s">
        <v>33</v>
      </c>
      <c r="H8" s="187">
        <f>T8*기준표!U8+(T8*($D$13-기준표!$D$13))</f>
        <v>0</v>
      </c>
      <c r="I8" s="188"/>
      <c r="J8" s="173"/>
      <c r="K8" s="113"/>
      <c r="L8" s="81">
        <f>2.2*(245+9*$K$6)*8*5</f>
        <v>21560</v>
      </c>
      <c r="M8" s="42">
        <v>3</v>
      </c>
      <c r="N8" s="38">
        <v>3</v>
      </c>
      <c r="O8" s="43">
        <v>2</v>
      </c>
      <c r="P8" s="34">
        <f t="shared" si="0"/>
        <v>0</v>
      </c>
      <c r="Q8" s="35">
        <f>(ROUNDDOWN($D$3*($D$4+100)/100+$D$5,0)*4+ROUNDDOWN($D$6*($D$7+100)/100+$D$8,0))*0.01*ROUNDDOWN(($D$9+100)*($D$10+100)/100,0)*($D$11+135)/100*0.955*1.24*(1.25*1.2*1.25*1.23*1.1)*((134+ROUNDDOWN($K$4/5,0))/100*1.06)*1.2*$L8/100*N8*0.01*(1-(3.8*0.84*0.8*(100-$D$12)/100))</f>
        <v>0</v>
      </c>
      <c r="R8" s="35">
        <f>(ROUNDDOWN($D$3*($D$4+100)/100+$D$5,0)*4+ROUNDDOWN($D$6*($D$7+100)/100+$D$8,0))*0.01*ROUNDDOWN(($D$9+100)*($D$10+100)/100,0)*($D$11+135)/100*0.955*1.24*(1.25*1.2*1.25*1.23*1.1)*(1.06)*1.2*$L8/100*O8*0.01*(1-(3.8*0.84*0.8*(100-$D$12)/100))</f>
        <v>0</v>
      </c>
      <c r="S8" s="36">
        <f>(ROUNDDOWN($D$3*($D$4+100)/100+$D$5,0)*4+ROUNDDOWN($D$6*($D$7+100)/100+$D$8,0))*0.01*ROUNDDOWN(($D$9+100)*($D$10+100)/100,0)*($D$11+135)/100*0.955*1.24*(1.25*1.2*1.25*1.23*1.1)*(1.06)*1.2*$L8/100*(ROUNDDOWN(I7/8+1,0)-M8-N8-O8)*0.01*(1-(3.8*0.8*(100-$D$12)/100))</f>
        <v>0</v>
      </c>
      <c r="T8" s="69">
        <f t="shared" si="1"/>
        <v>0</v>
      </c>
      <c r="U8" s="1"/>
      <c r="V8" s="2" t="s">
        <v>40</v>
      </c>
      <c r="AD8"/>
    </row>
    <row r="9" spans="2:30" ht="33" customHeight="1" thickTop="1" x14ac:dyDescent="0.3">
      <c r="B9" s="127" t="s">
        <v>9</v>
      </c>
      <c r="C9" s="29" t="s">
        <v>3</v>
      </c>
      <c r="D9" s="11"/>
      <c r="G9" s="70" t="s">
        <v>10</v>
      </c>
      <c r="H9" s="185" t="e">
        <f>T9*기준표!U9+(T9*($D$13-기준표!$D$13))</f>
        <v>#NUM!</v>
      </c>
      <c r="I9" s="16">
        <v>31</v>
      </c>
      <c r="J9" s="19" t="e">
        <f>H9/$H$23</f>
        <v>#NUM!</v>
      </c>
      <c r="K9" s="85"/>
      <c r="L9" s="81" t="e">
        <f>((10+K9+5*ROUNDDOWN(LOG(K9),0)+5*ROUNDDOWN(LOG(K9,20),0)+10*ROUNDDOWN(LOG(K9,30),0)+100)/100)*2000*15</f>
        <v>#NUM!</v>
      </c>
      <c r="M9" s="42">
        <v>8</v>
      </c>
      <c r="N9" s="38">
        <f>ROUNDDOWN($I$9/113*(65+3-24+ROUNDUP($K$4/2,0)),0)</f>
        <v>12</v>
      </c>
      <c r="O9" s="43">
        <f>ROUNDDOWN($I$9/113*(94-(65+ROUNDUP($K$4/2,0))),0)</f>
        <v>7</v>
      </c>
      <c r="P9" s="34" t="e">
        <f t="shared" si="0"/>
        <v>#NUM!</v>
      </c>
      <c r="Q9" s="35" t="e">
        <f>(ROUNDDOWN($D$3*($D$4+100)/100+$D$5,0)*4+ROUNDDOWN($D$6*($D$7+100)/100+$D$8,0))*0.01*ROUNDDOWN(($D$9+100)*($D$10+100)/100,0)*($D$11+135)/100*0.955*1.24*(1.25*1.2*1.25*1.23*1.1)*((134+ROUNDDOWN($K$4/5,0))/100*1.06)*1.2*$L9/100*N9*0.01*(1-(3.8*0.84*(100-$D$12)/100))</f>
        <v>#NUM!</v>
      </c>
      <c r="R9" s="35" t="e">
        <f>(ROUNDDOWN($D$3*($D$4+100)/100+$D$5,0)*4+ROUNDDOWN($D$6*($D$7+100)/100+$D$8,0))*0.01*ROUNDDOWN(($D$9+100)*($D$10+100)/100,0)*($D$11+135)/100*0.955*1.24*(1.25*1.2*1.25*1.23*1.1)*(1.06)*1.2*$L9/100*O9*0.01*(1-(3.8*0.84*(100-$D$12)/100))</f>
        <v>#NUM!</v>
      </c>
      <c r="S9" s="36" t="e">
        <f>(ROUNDDOWN($D$3*($D$4+100)/100+$D$5,0)*4+ROUNDDOWN($D$6*($D$7+100)/100+$D$8,0))*0.01*ROUNDDOWN(($D$9+100)*($D$10+100)/100,0)*($D$11+135)/100*0.955*1.24*(1.25*1.2*1.25*1.23*1.1)*(1.06)*1.2*$L9/100*(I9-M9-N9-O9)*0.01*(1-(3.8*(100-$D$12)/100))</f>
        <v>#NUM!</v>
      </c>
      <c r="T9" s="69" t="e">
        <f t="shared" si="1"/>
        <v>#NUM!</v>
      </c>
      <c r="U9" s="1"/>
      <c r="V9" s="2" t="s">
        <v>41</v>
      </c>
      <c r="AD9"/>
    </row>
    <row r="10" spans="2:30" ht="33" customHeight="1" thickBot="1" x14ac:dyDescent="0.35">
      <c r="B10" s="126"/>
      <c r="C10" s="26" t="s">
        <v>5</v>
      </c>
      <c r="D10" s="9"/>
      <c r="G10" s="71" t="s">
        <v>20</v>
      </c>
      <c r="H10" s="185">
        <f>T10*기준표!U10+(T10*($D$13-기준표!$D$13))</f>
        <v>0</v>
      </c>
      <c r="I10" s="18">
        <v>6</v>
      </c>
      <c r="J10" s="19" t="e">
        <f t="shared" ref="J10:J23" si="2">H10/$H$23</f>
        <v>#NUM!</v>
      </c>
      <c r="K10" s="85"/>
      <c r="L10" s="81">
        <f>(680+24*$K$10)*10*8</f>
        <v>54400</v>
      </c>
      <c r="M10" s="42">
        <v>3</v>
      </c>
      <c r="N10" s="38">
        <v>3</v>
      </c>
      <c r="O10" s="43">
        <v>0</v>
      </c>
      <c r="P10" s="34">
        <f t="shared" si="0"/>
        <v>0</v>
      </c>
      <c r="Q10" s="35">
        <f>(ROUNDDOWN($D$3*($D$4+100)/100+$D$5,0)*4+ROUNDDOWN($D$6*($D$7+100)/100+$D$8,0))*0.01*ROUNDDOWN(($D$9+100)*($D$10+100)/100,0)*($D$11+135)/100*0.955*1.24*(1.25*1.2*1.25*1.23*1.1)*((134+ROUNDDOWN($K$4/5,0))/100*1.06)*1.2*$L10/100*N10*0.01*(1-(3.8*0.84*(100-$D$12)/100))</f>
        <v>0</v>
      </c>
      <c r="R10" s="35">
        <f>(ROUNDDOWN($D$3*($D$4+100)/100+$D$5,0)*4+ROUNDDOWN($D$6*($D$7+100)/100+$D$8,0))*0.01*ROUNDDOWN(($D$9+100)*($D$10+100)/100,0)*($D$11+135)/100*0.955*1.24*(1.25*1.2*1.25*1.23*1.1)*(1.06)*1.2*$L10/100*O10*0.01*(1-(3.8*0.84*(100-$D$12)/100))</f>
        <v>0</v>
      </c>
      <c r="S10" s="36">
        <f>(ROUNDDOWN($D$3*($D$4+100)/100+$D$5,0)*4+ROUNDDOWN($D$6*($D$7+100)/100+$D$8,0))*0.01*ROUNDDOWN(($D$9+100)*($D$10+100)/100,0)*($D$11+135)/100*0.955*1.24*(1.25*1.2*1.25*1.23*1.1)*(1.06)*1.2*$L10/100*(I10-M10-N10-O10)*0.01*(1-(3.8*(100-$D$12)/100))</f>
        <v>0</v>
      </c>
      <c r="T10" s="69">
        <f t="shared" si="1"/>
        <v>0</v>
      </c>
      <c r="U10" s="1"/>
      <c r="V10" s="2" t="s">
        <v>42</v>
      </c>
      <c r="AD10"/>
    </row>
    <row r="11" spans="2:30" ht="33" customHeight="1" thickTop="1" x14ac:dyDescent="0.3">
      <c r="B11" s="107" t="s">
        <v>11</v>
      </c>
      <c r="C11" s="108"/>
      <c r="D11" s="11"/>
      <c r="G11" s="70" t="s">
        <v>14</v>
      </c>
      <c r="H11" s="185">
        <f>T11*기준표!U11+(T11*($D$13-기준표!$D$13))</f>
        <v>0</v>
      </c>
      <c r="I11" s="16">
        <v>57</v>
      </c>
      <c r="J11" s="19" t="e">
        <f t="shared" si="2"/>
        <v>#NUM!</v>
      </c>
      <c r="K11" s="113"/>
      <c r="L11" s="81">
        <f>2.2*(645+24*$K$11)*5</f>
        <v>7095.0000000000009</v>
      </c>
      <c r="M11" s="42">
        <f>$M$12</f>
        <v>25</v>
      </c>
      <c r="N11" s="38">
        <f>ROUNDDOWN(($I$11-$M$11)/113*(65+3-24+ROUNDUP($K$4/2,0)),0)</f>
        <v>12</v>
      </c>
      <c r="O11" s="43">
        <f>ROUNDDOWN(($I$11-$M$11)/113*(94-(65+ROUNDUP($K$4/2,0))),0)</f>
        <v>8</v>
      </c>
      <c r="P11" s="34">
        <f t="shared" si="0"/>
        <v>0</v>
      </c>
      <c r="Q11" s="35">
        <f>(ROUNDDOWN($D$3*($D$4+100)/100+$D$5,0)*4+ROUNDDOWN($D$6*($D$7+100)/100+$D$8,0))*0.01*ROUNDDOWN(($D$9+100)*($D$10+100)/100,0)*($D$11+135)/100*0.955*1.24*(1.25*1.2*1.25*1.23*1.1)*((134+ROUNDDOWN($K$4/5,0))/100*1.06)*1.2*$L11/100*N11*0.01*(1-(3.8*0.84*0.8*(100-$D$12)/100))</f>
        <v>0</v>
      </c>
      <c r="R11" s="35">
        <f>(ROUNDDOWN($D$3*($D$4+100)/100+$D$5,0)*4+ROUNDDOWN($D$6*($D$7+100)/100+$D$8,0))*0.01*ROUNDDOWN(($D$9+100)*($D$10+100)/100,0)*($D$11+135)/100*0.955*1.24*(1.25*1.2*1.25*1.23*1.1)*(1.06)*1.2*$L11/100*O11*0.01*(1-(3.8*0.84*0.8*(100-$D$12)/100))</f>
        <v>0</v>
      </c>
      <c r="S11" s="36">
        <f>(ROUNDDOWN($D$3*($D$4+100)/100+$D$5,0)*4+ROUNDDOWN($D$6*($D$7+100)/100+$D$8,0))*0.01*ROUNDDOWN(($D$9+100)*($D$10+100)/100,0)*($D$11+135)/100*0.955*1.24*(1.25*1.2*1.25*1.23*1.1)*(1.06)*1.2*$L11/100*(I11-M11-N11-O11)*0.01*(1-(3.8*0.8*(100-$D$12)/100))</f>
        <v>0</v>
      </c>
      <c r="T11" s="69">
        <f t="shared" si="1"/>
        <v>0</v>
      </c>
      <c r="U11" s="1"/>
    </row>
    <row r="12" spans="2:30" ht="33" customHeight="1" x14ac:dyDescent="0.3">
      <c r="B12" s="109" t="s">
        <v>12</v>
      </c>
      <c r="C12" s="110"/>
      <c r="D12" s="7"/>
      <c r="G12" s="70" t="s">
        <v>23</v>
      </c>
      <c r="H12" s="185">
        <f>T12*기준표!U12+(T12*($D$13-기준표!$D$13))</f>
        <v>0</v>
      </c>
      <c r="I12" s="16">
        <v>25</v>
      </c>
      <c r="J12" s="19" t="e">
        <f t="shared" si="2"/>
        <v>#NUM!</v>
      </c>
      <c r="K12" s="113"/>
      <c r="L12" s="81">
        <f>2.2*(745+28*$K$11)*6</f>
        <v>9834.0000000000018</v>
      </c>
      <c r="M12" s="42">
        <f>I12</f>
        <v>25</v>
      </c>
      <c r="N12" s="38">
        <v>0</v>
      </c>
      <c r="O12" s="43">
        <v>0</v>
      </c>
      <c r="P12" s="34">
        <f t="shared" si="0"/>
        <v>0</v>
      </c>
      <c r="Q12" s="35">
        <f>(ROUNDDOWN($D$3*($D$4+100)/100+$D$5,0)*4+ROUNDDOWN($D$6*($D$7+100)/100+$D$8,0))*0.01*ROUNDDOWN(($D$9+100)*($D$10+100)/100,0)*($D$11+135)/100*0.955*1.24*(1.25*1.2*1.25*1.23*1.1)*((134+ROUNDDOWN($K$4/5,0))/100*1.06)*1.2*$L12/100*N12*0.01*(1-(3.8*0.84*0.8*(100-$D$12)/100))</f>
        <v>0</v>
      </c>
      <c r="R12" s="35">
        <f>(ROUNDDOWN($D$3*($D$4+100)/100+$D$5,0)*4+ROUNDDOWN($D$6*($D$7+100)/100+$D$8,0))*0.01*ROUNDDOWN(($D$9+100)*($D$10+100)/100,0)*($D$11+135)/100*0.955*1.24*(1.25*1.2*1.25*1.23*1.1)*(1.06)*1.2*$L12/100*O12*0.01*(1-(3.8*0.84*0.8*(100-$D$12)/100))</f>
        <v>0</v>
      </c>
      <c r="S12" s="36">
        <f>(ROUNDDOWN($D$3*($D$4+100)/100+$D$5,0)*4+ROUNDDOWN($D$6*($D$7+100)/100+$D$8,0))*0.01*ROUNDDOWN(($D$9+100)*($D$10+100)/100,0)*($D$11+135)/100*0.955*1.24*(1.25*1.2*1.25*1.23*1.1)*(1.06)*1.2*$L12/100*(I12-M12-N12-O12)*0.01*(1-(3.8*0.8*(100-$D$12)/100))</f>
        <v>0</v>
      </c>
      <c r="T12" s="69">
        <f t="shared" si="1"/>
        <v>0</v>
      </c>
      <c r="U12" s="1"/>
    </row>
    <row r="13" spans="2:30" ht="33" customHeight="1" thickBot="1" x14ac:dyDescent="0.35">
      <c r="B13" s="111" t="s">
        <v>44</v>
      </c>
      <c r="C13" s="112"/>
      <c r="D13" s="8"/>
      <c r="E13" s="48"/>
      <c r="F13"/>
      <c r="G13" s="70" t="s">
        <v>18</v>
      </c>
      <c r="H13" s="185">
        <f>T13*기준표!U13+(T13*($D$13-기준표!$D$13))</f>
        <v>0</v>
      </c>
      <c r="I13" s="16">
        <v>554</v>
      </c>
      <c r="J13" s="19" t="e">
        <f t="shared" si="2"/>
        <v>#NUM!</v>
      </c>
      <c r="K13" s="113"/>
      <c r="L13" s="81">
        <f>2.2*(102+4*$K$11)*4</f>
        <v>897.6</v>
      </c>
      <c r="M13" s="42">
        <f>ROUNDDOWN(I13/113*24,0)</f>
        <v>117</v>
      </c>
      <c r="N13" s="38">
        <f>ROUNDDOWN(I13/113*(65+3-24+ROUNDUP($K$4/2,0)),0)</f>
        <v>215</v>
      </c>
      <c r="O13" s="43">
        <f>ROUNDDOWN(I13/113*(94-(65+ROUNDUP($K$4/2,0))),0)</f>
        <v>142</v>
      </c>
      <c r="P13" s="34">
        <f t="shared" si="0"/>
        <v>0</v>
      </c>
      <c r="Q13" s="35">
        <f>(ROUNDDOWN($D$3*($D$4+100)/100+$D$5,0)*4+ROUNDDOWN($D$6*($D$7+100)/100+$D$8,0))*0.01*ROUNDDOWN(($D$9+100)*($D$10+100)/100,0)*($D$11+135)/100*0.955*1.24*(1.25*1.2*1.25*1.23*1.1)*((134+ROUNDDOWN($K$4/5,0))/100*1.06)*1.2*$L13/100*N13*0.01*(1-(3.8*0.84*0.8*(100-$D$12)/100))</f>
        <v>0</v>
      </c>
      <c r="R13" s="35">
        <f>(ROUNDDOWN($D$3*($D$4+100)/100+$D$5,0)*4+ROUNDDOWN($D$6*($D$7+100)/100+$D$8,0))*0.01*ROUNDDOWN(($D$9+100)*($D$10+100)/100,0)*($D$11+135)/100*0.955*1.24*(1.25*1.2*1.25*1.23*1.1)*(1.06)*1.2*$L13/100*O13*0.01*(1-(3.8*0.84*0.8*(100-$D$12)/100))</f>
        <v>0</v>
      </c>
      <c r="S13" s="36">
        <f>(ROUNDDOWN($D$3*($D$4+100)/100+$D$5,0)*4+ROUNDDOWN($D$6*($D$7+100)/100+$D$8,0))*0.01*ROUNDDOWN(($D$9+100)*($D$10+100)/100,0)*($D$11+135)/100*0.955*1.24*(1.25*1.2*1.25*1.23*1.1)*(1.06)*1.2*$L13/100*(I13-M13-N13-O13)*0.01*(1-(3.8*0.8*(100-$D$12)/100))</f>
        <v>0</v>
      </c>
      <c r="T13" s="69">
        <f t="shared" si="1"/>
        <v>0</v>
      </c>
      <c r="U13" s="1"/>
    </row>
    <row r="14" spans="2:30" ht="33" customHeight="1" x14ac:dyDescent="0.3">
      <c r="G14" s="70" t="s">
        <v>17</v>
      </c>
      <c r="H14" s="185">
        <f>T14*기준표!U14+(T14*($D$13-기준표!$D$13))</f>
        <v>0</v>
      </c>
      <c r="I14" s="16">
        <v>69</v>
      </c>
      <c r="J14" s="19" t="e">
        <f t="shared" si="2"/>
        <v>#NUM!</v>
      </c>
      <c r="K14" s="85"/>
      <c r="L14" s="81">
        <f>2.2*(935+27*$K$14)*9</f>
        <v>18513</v>
      </c>
      <c r="M14" s="42">
        <f>ROUNDDOWN(I14/113*24,0)</f>
        <v>14</v>
      </c>
      <c r="N14" s="38">
        <f>ROUNDDOWN(I14/113*(65+3-24+ROUNDUP($K$4/2,0)),0)</f>
        <v>26</v>
      </c>
      <c r="O14" s="43">
        <f>ROUNDDOWN(I14/113*(94-(65+ROUNDUP($K$4/2,0))),0)</f>
        <v>17</v>
      </c>
      <c r="P14" s="34">
        <f t="shared" si="0"/>
        <v>0</v>
      </c>
      <c r="Q14" s="35">
        <f>(ROUNDDOWN($D$3*($D$4+100)/100+$D$5,0)*4+ROUNDDOWN($D$6*($D$7+100)/100+$D$8,0))*0.01*ROUNDDOWN(($D$9+100)*($D$10+100)/100,0)*($D$11+135)/100*0.955*1.24*(1.25*1.2*1.25*1.23*1.1)*((134+ROUNDDOWN($K$4/5,0))/100*1.06)*1.2*$L14/100*N14*0.01*(1-(3.8*0.84*0.8*0.8*(100-$D$12)/100))</f>
        <v>0</v>
      </c>
      <c r="R14" s="35">
        <f>(ROUNDDOWN($D$3*($D$4+100)/100+$D$5,0)*4+ROUNDDOWN($D$6*($D$7+100)/100+$D$8,0))*0.01*ROUNDDOWN(($D$9+100)*($D$10+100)/100,0)*($D$11+135)/100*0.955*1.24*(1.25*1.2*1.25*1.23*1.1)*(1.06)*1.2*$L14/100*O14*0.01*(1-(3.8*0.84*0.8*0.8*(100-$D$12)/100))</f>
        <v>0</v>
      </c>
      <c r="S14" s="36">
        <f>(ROUNDDOWN($D$3*($D$4+100)/100+$D$5,0)*4+ROUNDDOWN($D$6*($D$7+100)/100+$D$8,0))*0.01*ROUNDDOWN(($D$9+100)*($D$10+100)/100,0)*($D$11+135)/100*0.955*1.24*(1.25*1.2*1.25*1.23*1.1)*(1.06)*1.2*$L14/100*(I14-M14-N14-O14)*0.01*(1-(3.8*0.8*0.8*(100-$D$12)/100))</f>
        <v>0</v>
      </c>
      <c r="T14" s="69">
        <f t="shared" si="1"/>
        <v>0</v>
      </c>
      <c r="U14" s="27"/>
    </row>
    <row r="15" spans="2:30" ht="33" customHeight="1" x14ac:dyDescent="0.3">
      <c r="B15" s="102" t="s">
        <v>46</v>
      </c>
      <c r="C15" s="102"/>
      <c r="D15" s="102"/>
      <c r="E15" s="102"/>
      <c r="G15" s="71" t="s">
        <v>19</v>
      </c>
      <c r="H15" s="185" t="e">
        <f>T15*기준표!U15+(T15*($D$13-기준표!$D$13))</f>
        <v>#NUM!</v>
      </c>
      <c r="I15" s="18">
        <v>63</v>
      </c>
      <c r="J15" s="19" t="e">
        <f t="shared" si="2"/>
        <v>#NUM!</v>
      </c>
      <c r="K15" s="113"/>
      <c r="L15" s="81" t="e">
        <f>((10+$K$15+5*ROUNDDOWN(LOG($K$15),0)+5*ROUNDDOWN(LOG($K$15,20),0)+10*ROUNDDOWN(LOG($K$15,30),0)+100)/100)*1370*5</f>
        <v>#NUM!</v>
      </c>
      <c r="M15" s="42">
        <f>I15</f>
        <v>63</v>
      </c>
      <c r="N15" s="38">
        <v>0</v>
      </c>
      <c r="O15" s="43">
        <v>0</v>
      </c>
      <c r="P15" s="34" t="e">
        <f t="shared" si="0"/>
        <v>#NUM!</v>
      </c>
      <c r="Q15" s="35" t="e">
        <f t="shared" ref="Q15:Q22" si="3">(ROUNDDOWN($D$3*($D$4+100)/100+$D$5,0)*4+ROUNDDOWN($D$6*($D$7+100)/100+$D$8,0))*0.01*ROUNDDOWN(($D$9+100)*($D$10+100)/100,0)*($D$11+135)/100*0.955*1.24*(1.25*1.2*1.25*1.23*1.1)*((134+ROUNDDOWN($K$4/5,0))/100*1.06)*1.2*$L15/100*N15*0.01*(1-(3.8*0.84*(100-$D$12)/100))</f>
        <v>#NUM!</v>
      </c>
      <c r="R15" s="35" t="e">
        <f t="shared" ref="R15:R22" si="4">(ROUNDDOWN($D$3*($D$4+100)/100+$D$5,0)*4+ROUNDDOWN($D$6*($D$7+100)/100+$D$8,0))*0.01*ROUNDDOWN(($D$9+100)*($D$10+100)/100,0)*($D$11+135)/100*0.955*1.24*(1.25*1.2*1.25*1.23*1.1)*(1.06)*1.2*$L15/100*O15*0.01*(1-(3.8*0.84*(100-$D$12)/100))</f>
        <v>#NUM!</v>
      </c>
      <c r="S15" s="36" t="e">
        <f t="shared" ref="S15:S20" si="5">(ROUNDDOWN($D$3*($D$4+100)/100+$D$5,0)*4+ROUNDDOWN($D$6*($D$7+100)/100+$D$8,0))*0.01*ROUNDDOWN(($D$9+100)*($D$10+100)/100,0)*($D$11+135)/100*0.955*1.24*(1.25*1.2*1.25*1.23*1.1)*(1.06)*1.2*$L15/100*(I15-M15-N15-O15)*0.01*(1-(3.8*(100-$D$12)/100))</f>
        <v>#NUM!</v>
      </c>
      <c r="T15" s="69" t="e">
        <f t="shared" si="1"/>
        <v>#NUM!</v>
      </c>
      <c r="U15" s="1"/>
    </row>
    <row r="16" spans="2:30" ht="33" customHeight="1" x14ac:dyDescent="0.3">
      <c r="B16" s="101" t="s">
        <v>93</v>
      </c>
      <c r="C16" s="101"/>
      <c r="D16" s="101"/>
      <c r="E16" s="101"/>
      <c r="G16" s="71" t="s">
        <v>22</v>
      </c>
      <c r="H16" s="185" t="e">
        <f>T16*기준표!U16+(T16*($D$13-기준표!$D$13))</f>
        <v>#NUM!</v>
      </c>
      <c r="I16" s="18">
        <v>72</v>
      </c>
      <c r="J16" s="19" t="e">
        <f t="shared" si="2"/>
        <v>#NUM!</v>
      </c>
      <c r="K16" s="113"/>
      <c r="L16" s="81" t="e">
        <f>((10+$K$15+5*ROUNDDOWN(LOG($K$15),0)+5*ROUNDDOWN(LOG($K$15,20),0)+10*ROUNDDOWN(LOG($K$15,30),0)+100)/100)*1210*9</f>
        <v>#NUM!</v>
      </c>
      <c r="M16" s="42">
        <f>I16</f>
        <v>72</v>
      </c>
      <c r="N16" s="38">
        <v>0</v>
      </c>
      <c r="O16" s="43">
        <v>0</v>
      </c>
      <c r="P16" s="34" t="e">
        <f t="shared" si="0"/>
        <v>#NUM!</v>
      </c>
      <c r="Q16" s="35" t="e">
        <f t="shared" si="3"/>
        <v>#NUM!</v>
      </c>
      <c r="R16" s="35" t="e">
        <f t="shared" si="4"/>
        <v>#NUM!</v>
      </c>
      <c r="S16" s="36" t="e">
        <f t="shared" si="5"/>
        <v>#NUM!</v>
      </c>
      <c r="T16" s="69" t="e">
        <f t="shared" si="1"/>
        <v>#NUM!</v>
      </c>
      <c r="U16" s="1"/>
      <c r="V16" s="1"/>
    </row>
    <row r="17" spans="2:30" ht="33" customHeight="1" x14ac:dyDescent="0.3">
      <c r="B17" s="101" t="s">
        <v>92</v>
      </c>
      <c r="C17" s="101"/>
      <c r="D17" s="101"/>
      <c r="E17" s="101"/>
      <c r="G17" s="71" t="s">
        <v>28</v>
      </c>
      <c r="H17" s="185" t="e">
        <f>T17*기준표!U17+(T17*($D$13-기준표!$D$13))</f>
        <v>#NUM!</v>
      </c>
      <c r="I17" s="18">
        <v>3</v>
      </c>
      <c r="J17" s="19" t="e">
        <f t="shared" si="2"/>
        <v>#NUM!</v>
      </c>
      <c r="K17" s="113"/>
      <c r="L17" s="81" t="e">
        <f>((10+$K$15+5*ROUNDDOWN(LOG($K$15),0)+5*ROUNDDOWN(LOG($K$15,20),0)+10*ROUNDDOWN(LOG($K$15,30),0)+100)/100)*1370*15*7</f>
        <v>#NUM!</v>
      </c>
      <c r="M17" s="42">
        <f>I17</f>
        <v>3</v>
      </c>
      <c r="N17" s="38">
        <v>0</v>
      </c>
      <c r="O17" s="43">
        <v>0</v>
      </c>
      <c r="P17" s="34" t="e">
        <f t="shared" si="0"/>
        <v>#NUM!</v>
      </c>
      <c r="Q17" s="35" t="e">
        <f t="shared" si="3"/>
        <v>#NUM!</v>
      </c>
      <c r="R17" s="35" t="e">
        <f t="shared" si="4"/>
        <v>#NUM!</v>
      </c>
      <c r="S17" s="36" t="e">
        <f t="shared" si="5"/>
        <v>#NUM!</v>
      </c>
      <c r="T17" s="69" t="e">
        <f t="shared" si="1"/>
        <v>#NUM!</v>
      </c>
      <c r="U17" s="1"/>
      <c r="V17" s="1"/>
    </row>
    <row r="18" spans="2:30" s="1" customFormat="1" ht="33" customHeight="1" thickBot="1" x14ac:dyDescent="0.35">
      <c r="B18" s="101" t="s">
        <v>65</v>
      </c>
      <c r="C18" s="101"/>
      <c r="D18" s="101"/>
      <c r="E18" s="101"/>
      <c r="G18" s="70" t="s">
        <v>27</v>
      </c>
      <c r="H18" s="185">
        <f>T18*기준표!U18+(T18*($D$13-기준표!$D$13))</f>
        <v>0</v>
      </c>
      <c r="I18" s="16">
        <v>1</v>
      </c>
      <c r="J18" s="19" t="e">
        <f t="shared" si="2"/>
        <v>#NUM!</v>
      </c>
      <c r="K18" s="85"/>
      <c r="L18" s="81">
        <f>(750+25*$K$18)*7*6+(690+22*$K$18)*6*30+(685+23*$K$18)*14*24</f>
        <v>385860</v>
      </c>
      <c r="M18" s="42">
        <f>I18</f>
        <v>1</v>
      </c>
      <c r="N18" s="38">
        <v>0</v>
      </c>
      <c r="O18" s="43">
        <v>0</v>
      </c>
      <c r="P18" s="34">
        <f t="shared" si="0"/>
        <v>0</v>
      </c>
      <c r="Q18" s="35">
        <f t="shared" si="3"/>
        <v>0</v>
      </c>
      <c r="R18" s="35">
        <f t="shared" si="4"/>
        <v>0</v>
      </c>
      <c r="S18" s="36">
        <f t="shared" si="5"/>
        <v>0</v>
      </c>
      <c r="T18" s="69">
        <f t="shared" si="1"/>
        <v>0</v>
      </c>
      <c r="U18" s="3"/>
      <c r="W18" s="2"/>
      <c r="X18" s="2"/>
      <c r="Y18" s="2"/>
      <c r="Z18" s="2"/>
      <c r="AA18" s="2"/>
      <c r="AB18" s="2"/>
      <c r="AC18" s="2"/>
      <c r="AD18" s="2"/>
    </row>
    <row r="19" spans="2:30" ht="33" customHeight="1" thickBot="1" x14ac:dyDescent="0.35">
      <c r="B19" s="101" t="s">
        <v>62</v>
      </c>
      <c r="C19" s="101"/>
      <c r="D19" s="101"/>
      <c r="E19" s="101"/>
      <c r="G19" s="71" t="s">
        <v>21</v>
      </c>
      <c r="H19" s="185">
        <f>T19*기준표!U19+(T19*($D$13-기준표!$D$13))</f>
        <v>0</v>
      </c>
      <c r="I19" s="18">
        <v>824</v>
      </c>
      <c r="J19" s="19" t="e">
        <f t="shared" si="2"/>
        <v>#NUM!</v>
      </c>
      <c r="K19" s="86"/>
      <c r="L19" s="81">
        <v>990</v>
      </c>
      <c r="M19" s="42">
        <f>ROUNDDOWN(I19/113*24,0)</f>
        <v>175</v>
      </c>
      <c r="N19" s="38">
        <f>ROUNDDOWN(I19/113*(65+3-24+ROUNDUP($K$4/2,0)),0)</f>
        <v>320</v>
      </c>
      <c r="O19" s="43">
        <f>ROUNDDOWN(I19/113*(94-(65+ROUNDUP($K$4/2,0))),0)</f>
        <v>211</v>
      </c>
      <c r="P19" s="34">
        <f t="shared" si="0"/>
        <v>0</v>
      </c>
      <c r="Q19" s="35">
        <f t="shared" si="3"/>
        <v>0</v>
      </c>
      <c r="R19" s="35">
        <f t="shared" si="4"/>
        <v>0</v>
      </c>
      <c r="S19" s="36">
        <f t="shared" si="5"/>
        <v>0</v>
      </c>
      <c r="T19" s="69">
        <f t="shared" si="1"/>
        <v>0</v>
      </c>
      <c r="U19" s="1"/>
      <c r="V19" s="176" t="s">
        <v>59</v>
      </c>
      <c r="W19" s="177"/>
      <c r="X19" s="177"/>
      <c r="Y19" s="177"/>
      <c r="Z19" s="177"/>
      <c r="AA19" s="177"/>
      <c r="AB19" s="178"/>
    </row>
    <row r="20" spans="2:30" s="1" customFormat="1" ht="33" customHeight="1" x14ac:dyDescent="0.3">
      <c r="B20" s="101" t="s">
        <v>64</v>
      </c>
      <c r="C20" s="101"/>
      <c r="D20" s="101"/>
      <c r="E20" s="101"/>
      <c r="G20" s="70" t="s">
        <v>13</v>
      </c>
      <c r="H20" s="185">
        <f>T20*기준표!U20+(T20*($D$13-기준표!$D$13))</f>
        <v>0</v>
      </c>
      <c r="I20" s="16">
        <v>52</v>
      </c>
      <c r="J20" s="19" t="e">
        <f t="shared" si="2"/>
        <v>#NUM!</v>
      </c>
      <c r="K20" s="86"/>
      <c r="L20" s="81">
        <f>1000*6</f>
        <v>6000</v>
      </c>
      <c r="M20" s="42">
        <f>ROUNDDOWN(I20/98*24,0)</f>
        <v>12</v>
      </c>
      <c r="N20" s="38">
        <f>ROUNDDOWN(I20/98*(65+3-24+ROUNDUP($K$4/2,0)),0)</f>
        <v>23</v>
      </c>
      <c r="O20" s="43">
        <f>I20-M20-N20</f>
        <v>17</v>
      </c>
      <c r="P20" s="34">
        <f t="shared" si="0"/>
        <v>0</v>
      </c>
      <c r="Q20" s="35">
        <f t="shared" si="3"/>
        <v>0</v>
      </c>
      <c r="R20" s="35">
        <f t="shared" si="4"/>
        <v>0</v>
      </c>
      <c r="S20" s="36">
        <f t="shared" si="5"/>
        <v>0</v>
      </c>
      <c r="T20" s="69">
        <f t="shared" si="1"/>
        <v>0</v>
      </c>
      <c r="U20" s="174" t="s">
        <v>82</v>
      </c>
      <c r="V20" s="192"/>
      <c r="W20" s="171" t="s">
        <v>60</v>
      </c>
      <c r="X20" s="169"/>
      <c r="Y20" s="170"/>
      <c r="Z20" s="168" t="s">
        <v>61</v>
      </c>
      <c r="AA20" s="169"/>
      <c r="AB20" s="170"/>
      <c r="AC20" s="2"/>
      <c r="AD20" s="2"/>
    </row>
    <row r="21" spans="2:30" s="1" customFormat="1" ht="33" customHeight="1" x14ac:dyDescent="0.3">
      <c r="G21" s="71" t="s">
        <v>26</v>
      </c>
      <c r="H21" s="185">
        <f>T21*기준표!U21+(T21*($D$13-기준표!$D$13))</f>
        <v>0</v>
      </c>
      <c r="I21" s="18">
        <v>31</v>
      </c>
      <c r="J21" s="19" t="e">
        <f t="shared" si="2"/>
        <v>#NUM!</v>
      </c>
      <c r="K21" s="86"/>
      <c r="L21" s="81">
        <f>385*8</f>
        <v>3080</v>
      </c>
      <c r="M21" s="42">
        <v>10</v>
      </c>
      <c r="N21" s="38">
        <f>I21-M21-1</f>
        <v>20</v>
      </c>
      <c r="O21" s="43">
        <v>0</v>
      </c>
      <c r="P21" s="34">
        <f t="shared" si="0"/>
        <v>0</v>
      </c>
      <c r="Q21" s="35">
        <f t="shared" si="3"/>
        <v>0</v>
      </c>
      <c r="R21" s="35">
        <f t="shared" si="4"/>
        <v>0</v>
      </c>
      <c r="S21" s="36">
        <f>(ROUNDDOWN($D$3*($D$4+100)/100+$D$5,0)*4+ROUNDDOWN($D$6*($D$7+100)/100+$D$8,0))*0.01*ROUNDDOWN(($D$9+100)*($D$10+100)/100,0)*($D$11+135)/100*0.955*1.24*(1.25*1.2*1.25*1.23*1.1)*(1.06)*1.2*($L21/100*(I21-M21-N21-O21)+990/100*15)*0.01*(1-(3.8*(100-$D$12)/100))</f>
        <v>0</v>
      </c>
      <c r="T21" s="69">
        <f t="shared" si="1"/>
        <v>0</v>
      </c>
      <c r="U21" s="175"/>
      <c r="V21" s="51" t="s">
        <v>79</v>
      </c>
      <c r="W21" s="54">
        <v>4</v>
      </c>
      <c r="X21" s="54">
        <v>5</v>
      </c>
      <c r="Y21" s="55">
        <v>6</v>
      </c>
      <c r="Z21" s="64">
        <v>4</v>
      </c>
      <c r="AA21" s="54">
        <v>5</v>
      </c>
      <c r="AB21" s="55">
        <v>6</v>
      </c>
      <c r="AC21" s="2"/>
      <c r="AD21" s="2"/>
    </row>
    <row r="22" spans="2:30" s="1" customFormat="1" ht="33" customHeight="1" thickBot="1" x14ac:dyDescent="0.35">
      <c r="G22" s="71" t="s">
        <v>25</v>
      </c>
      <c r="H22" s="185">
        <f>T22*기준표!U22+(T22*($D$13-기준표!$D$13))</f>
        <v>0</v>
      </c>
      <c r="I22" s="18">
        <v>25</v>
      </c>
      <c r="J22" s="19" t="e">
        <f t="shared" si="2"/>
        <v>#NUM!</v>
      </c>
      <c r="K22" s="86"/>
      <c r="L22" s="81">
        <f>605*6</f>
        <v>3630</v>
      </c>
      <c r="M22" s="42">
        <v>11</v>
      </c>
      <c r="N22" s="38">
        <f>I22-M22-1</f>
        <v>13</v>
      </c>
      <c r="O22" s="43">
        <v>0</v>
      </c>
      <c r="P22" s="34">
        <f t="shared" si="0"/>
        <v>0</v>
      </c>
      <c r="Q22" s="35">
        <f t="shared" si="3"/>
        <v>0</v>
      </c>
      <c r="R22" s="35">
        <f t="shared" si="4"/>
        <v>0</v>
      </c>
      <c r="S22" s="36">
        <f>(ROUNDDOWN($D$3*($D$4+100)/100+$D$5,0)*4+ROUNDDOWN($D$6*($D$7+100)/100+$D$8,0))*0.01*ROUNDDOWN(($D$9+100)*($D$10+100)/100,0)*($D$11+135)/100*0.955*1.24*(1.25*1.2*1.25*1.23*1.1)*(1.06)*1.2*($L22/100*(I22-M22-N22-O22)+1650/100*12)*0.01*(1-(3.8*(100-$D$12)/100))</f>
        <v>0</v>
      </c>
      <c r="T22" s="69">
        <f t="shared" si="1"/>
        <v>0</v>
      </c>
      <c r="U22" s="175"/>
      <c r="V22" s="52" t="s">
        <v>80</v>
      </c>
      <c r="W22" s="56" t="e">
        <f>(((($T$10+$T$17+$T$18)*140+$H$10+$H$17+$H$18)/($D$10+100)*($D$10+10+100)+(((SUM($T$5:$T$9)+SUM($T$11:$T$16)+SUM($T$19:$T$22))/12.1*8*140)+$H$23-$H$10-$H$17-$H$18)/($D$10+100)*($D$10+10/12.1*8+100))/$H$23)-1</f>
        <v>#NUM!</v>
      </c>
      <c r="X22" s="56" t="e">
        <f>(((($T$10+$T$17+$T$18)*160+$H$10+$H$17+$H$18)/($D$10+100)*($D$10+12+100)+(((SUM($T$5:$T$22)-$T$10-$T$17-$T$18)/12.1*8*160)+$H$23-$H$10-$H$17-$H$18)/($D$10+100)*($D$10+12/12.1*8+100))/$H$23)-1</f>
        <v>#NUM!</v>
      </c>
      <c r="Y22" s="57" t="e">
        <f>(((($T$10+$T$17+$T$18)*195+$H$10+$H$17+$H$18)/($D$10+100)*($D$10+14+100)+(((SUM($T$5:$T$9)+SUM($T$11:$T$16)+SUM($T$19:$T$22))/12.1*8*195)+$H$23-$H$10-$H$17-$H$18)/($D$10+100)*($D$10+14/12.1*8+100))/$H$23)-1</f>
        <v>#NUM!</v>
      </c>
      <c r="Z22" s="56" t="e">
        <f>($S$46/($D$10+100)*($D$10+80+100)-$S$46)/$H$23</f>
        <v>#NUM!</v>
      </c>
      <c r="AA22" s="56" t="e">
        <f>($Q$46/($D$10+100)*($D$10+80+100)-$Q$46)/$H$23</f>
        <v>#NUM!</v>
      </c>
      <c r="AB22" s="57" t="e">
        <f>($Q$46/($D$10+100)*($D$10+95+100)-$Q$46)/$H$23</f>
        <v>#NUM!</v>
      </c>
      <c r="AC22" s="2"/>
      <c r="AD22" s="2"/>
    </row>
    <row r="23" spans="2:30" s="1" customFormat="1" ht="33" customHeight="1" thickBot="1" x14ac:dyDescent="0.35">
      <c r="G23" s="72" t="s">
        <v>37</v>
      </c>
      <c r="H23" s="73" t="e">
        <f>SUM($H$5:$H$22)</f>
        <v>#NUM!</v>
      </c>
      <c r="I23" s="74"/>
      <c r="J23" s="75" t="e">
        <f t="shared" si="2"/>
        <v>#NUM!</v>
      </c>
      <c r="K23" s="87"/>
      <c r="L23" s="82"/>
      <c r="M23" s="44"/>
      <c r="N23" s="45"/>
      <c r="O23" s="46"/>
      <c r="P23" s="76"/>
      <c r="Q23" s="77"/>
      <c r="R23" s="77"/>
      <c r="S23" s="78"/>
      <c r="T23" s="79"/>
      <c r="U23" s="175"/>
      <c r="V23" s="65" t="s">
        <v>95</v>
      </c>
      <c r="W23" s="56" t="e">
        <f>(((($P$10+$T$17+$T$18)*140+$H$16/$L$16*$L$10/$I$16*3+$H$17+$H$18)/($D$10+100)*($D$10+10+100)+(((SUM($T$5:$T$9)+SUM($T$11:$T$16)+SUM($T$19:$T$22))/12.1*8*140)+$H$23-$H$10-$H$17-$H$18)/($D$10+100)*($D$10+10/12.1*8+100))/$H$23)-1</f>
        <v>#NUM!</v>
      </c>
      <c r="X23" s="56" t="e">
        <f>(((($P$10+$T$17+$T$18)*160+$H$16/$L$16*$L$10/$I$16*3+$H$17+$H$18)/($D$10+100)*($D$10+12+100)+(((SUM($T$5:$T$9)+SUM($T$11:$T$16)+SUM($T$19:$T$22))/12.1*8*160)+$H$23-$H$10-$H$17-$H$18)/($D$10+100)*($D$10+12/12.1*8+100))/$H$23)-1</f>
        <v>#NUM!</v>
      </c>
      <c r="Y23" s="57" t="e">
        <f>(((($P$10+$T$17+$T$18)*195+$H$16/$L$16*$L$10/$I$16*3+$H$17+$H$18)/($D$10+100)*($D$10+14+100)+(((SUM($T$5:$T$9)+SUM($T$11:$T$16)+SUM($T$19:$T$22))/12.1*8*195)+$H$23-$H$10-$H$17-$H$18)/($D$10+100)*($D$10+14/12.1*8+100))/$H$23)-1</f>
        <v>#NUM!</v>
      </c>
      <c r="Z23" s="2"/>
      <c r="AA23" s="2"/>
      <c r="AB23" s="2"/>
      <c r="AC23" s="2"/>
      <c r="AD23" s="2"/>
    </row>
    <row r="24" spans="2:30" s="1" customFormat="1" ht="33" customHeight="1" x14ac:dyDescent="0.3">
      <c r="G24" s="2"/>
      <c r="L24" s="2" t="s">
        <v>71</v>
      </c>
      <c r="AC24" s="2"/>
      <c r="AD24" s="2"/>
    </row>
    <row r="25" spans="2:30" s="1" customFormat="1" ht="33" customHeight="1" thickBot="1" x14ac:dyDescent="0.35">
      <c r="B25" s="53" t="s">
        <v>70</v>
      </c>
      <c r="P25" s="102" t="s">
        <v>85</v>
      </c>
      <c r="Q25" s="102"/>
      <c r="R25" s="102"/>
      <c r="S25" s="102"/>
      <c r="T25" s="102"/>
      <c r="W25" s="2"/>
      <c r="X25" s="2"/>
      <c r="Y25" s="2"/>
      <c r="Z25" s="2"/>
      <c r="AA25" s="2"/>
      <c r="AB25" s="2"/>
      <c r="AC25" s="2"/>
      <c r="AD25" s="2"/>
    </row>
    <row r="26" spans="2:30" s="1" customFormat="1" ht="33" customHeight="1" thickBot="1" x14ac:dyDescent="0.35">
      <c r="B26" s="2" t="s">
        <v>102</v>
      </c>
      <c r="C26" s="2"/>
      <c r="D26" s="2"/>
      <c r="E26" s="2"/>
      <c r="F26" s="2"/>
      <c r="G26" s="2"/>
      <c r="H26" s="2"/>
      <c r="I26" s="2"/>
      <c r="J26" s="2"/>
      <c r="P26" s="88"/>
      <c r="Q26" s="179" t="s">
        <v>97</v>
      </c>
      <c r="R26" s="180"/>
      <c r="S26" s="181" t="s">
        <v>98</v>
      </c>
      <c r="T26" s="180"/>
      <c r="W26" s="2"/>
      <c r="X26" s="2"/>
      <c r="Y26" s="2"/>
      <c r="Z26" s="2"/>
      <c r="AA26" s="2"/>
      <c r="AB26" s="2"/>
      <c r="AC26" s="2"/>
      <c r="AD26" s="2"/>
    </row>
    <row r="27" spans="2:30" ht="33" customHeight="1" x14ac:dyDescent="0.3">
      <c r="B27" s="2" t="s">
        <v>103</v>
      </c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  <c r="N27" s="1"/>
      <c r="O27" s="1"/>
      <c r="P27" s="66" t="s">
        <v>86</v>
      </c>
      <c r="Q27" s="63" t="s">
        <v>87</v>
      </c>
      <c r="R27" s="50" t="s">
        <v>88</v>
      </c>
      <c r="S27" s="92" t="s">
        <v>87</v>
      </c>
      <c r="T27" s="50" t="s">
        <v>88</v>
      </c>
      <c r="U27" s="1"/>
      <c r="V27" s="1"/>
    </row>
    <row r="28" spans="2:30" ht="33" customHeight="1" x14ac:dyDescent="0.3">
      <c r="B28" s="2" t="s">
        <v>69</v>
      </c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  <c r="N28" s="1"/>
      <c r="O28" s="1"/>
      <c r="P28" s="89" t="s">
        <v>24</v>
      </c>
      <c r="Q28" s="97">
        <v>0</v>
      </c>
      <c r="R28" s="61">
        <v>0</v>
      </c>
      <c r="S28" s="93">
        <v>0</v>
      </c>
      <c r="T28" s="61">
        <v>0</v>
      </c>
      <c r="U28" s="1"/>
      <c r="V28" s="1"/>
    </row>
    <row r="29" spans="2:30" ht="33" customHeight="1" x14ac:dyDescent="0.3">
      <c r="B29" s="2" t="s">
        <v>84</v>
      </c>
      <c r="C29" s="2"/>
      <c r="D29" s="2"/>
      <c r="E29" s="2"/>
      <c r="F29" s="2"/>
      <c r="G29" s="2"/>
      <c r="H29" s="2"/>
      <c r="I29" s="2"/>
      <c r="J29" s="2"/>
      <c r="P29" s="90" t="s">
        <v>31</v>
      </c>
      <c r="Q29" s="98" t="e">
        <f>($H$16/$L$16*L6)/$I$16*R29</f>
        <v>#NUM!</v>
      </c>
      <c r="R29" s="62">
        <v>30</v>
      </c>
      <c r="S29" s="94" t="e">
        <f t="shared" ref="S29:S34" si="6">($H$16/$L$16*L6)/$I$16*T29</f>
        <v>#NUM!</v>
      </c>
      <c r="T29" s="61">
        <v>21</v>
      </c>
    </row>
    <row r="30" spans="2:30" ht="33" customHeight="1" x14ac:dyDescent="0.3">
      <c r="B30" s="2" t="s">
        <v>91</v>
      </c>
      <c r="C30" s="2"/>
      <c r="D30" s="2"/>
      <c r="E30" s="2"/>
      <c r="F30" s="2"/>
      <c r="G30" s="2"/>
      <c r="H30" s="2"/>
      <c r="I30" s="2"/>
      <c r="J30" s="2"/>
      <c r="P30" s="90" t="s">
        <v>32</v>
      </c>
      <c r="Q30" s="98" t="e">
        <f t="shared" ref="Q30:Q32" si="7">($H$16/$L$16*L7)/$I$16*R30</f>
        <v>#NUM!</v>
      </c>
      <c r="R30" s="62">
        <v>6</v>
      </c>
      <c r="S30" s="94" t="e">
        <f t="shared" si="6"/>
        <v>#NUM!</v>
      </c>
      <c r="T30" s="62">
        <v>6</v>
      </c>
    </row>
    <row r="31" spans="2:30" ht="33" customHeight="1" x14ac:dyDescent="0.3">
      <c r="C31" s="2"/>
      <c r="D31" s="2"/>
      <c r="E31" s="2"/>
      <c r="F31" s="2"/>
      <c r="G31" s="2"/>
      <c r="H31" s="2"/>
      <c r="I31" s="2"/>
      <c r="J31" s="2"/>
      <c r="P31" s="90" t="s">
        <v>33</v>
      </c>
      <c r="Q31" s="98" t="e">
        <f t="shared" si="7"/>
        <v>#NUM!</v>
      </c>
      <c r="R31" s="62">
        <v>3</v>
      </c>
      <c r="S31" s="94" t="e">
        <f t="shared" si="6"/>
        <v>#NUM!</v>
      </c>
      <c r="T31" s="62">
        <v>3</v>
      </c>
    </row>
    <row r="32" spans="2:30" ht="33" customHeight="1" x14ac:dyDescent="0.3">
      <c r="C32" s="2"/>
      <c r="D32" s="2"/>
      <c r="E32" s="2"/>
      <c r="F32" s="2"/>
      <c r="G32" s="2"/>
      <c r="H32" s="2"/>
      <c r="I32" s="2"/>
      <c r="J32" s="2"/>
      <c r="P32" s="90" t="s">
        <v>10</v>
      </c>
      <c r="Q32" s="98" t="e">
        <f t="shared" si="7"/>
        <v>#NUM!</v>
      </c>
      <c r="R32" s="62">
        <v>8</v>
      </c>
      <c r="S32" s="94" t="e">
        <f t="shared" si="6"/>
        <v>#NUM!</v>
      </c>
      <c r="T32" s="61">
        <v>6</v>
      </c>
    </row>
    <row r="33" spans="3:26" ht="33" customHeight="1" x14ac:dyDescent="0.3">
      <c r="C33" s="49"/>
      <c r="D33" s="49"/>
      <c r="E33" s="49"/>
      <c r="F33" s="49"/>
      <c r="G33" s="49"/>
      <c r="H33" s="49"/>
      <c r="P33" s="89" t="s">
        <v>20</v>
      </c>
      <c r="Q33" s="98" t="e">
        <f>($H$16/$L$16*L10)/$I$16*R33</f>
        <v>#NUM!</v>
      </c>
      <c r="R33" s="61">
        <v>3</v>
      </c>
      <c r="S33" s="94" t="e">
        <f t="shared" si="6"/>
        <v>#NUM!</v>
      </c>
      <c r="T33" s="61">
        <v>3</v>
      </c>
    </row>
    <row r="34" spans="3:26" ht="33" customHeight="1" x14ac:dyDescent="0.3">
      <c r="P34" s="90" t="s">
        <v>14</v>
      </c>
      <c r="Q34" s="98" t="e">
        <f>($H$16/$L$16*L11)/$I$16*R34</f>
        <v>#NUM!</v>
      </c>
      <c r="R34" s="62">
        <v>24</v>
      </c>
      <c r="S34" s="94" t="e">
        <f t="shared" si="6"/>
        <v>#NUM!</v>
      </c>
      <c r="T34" s="61">
        <v>18</v>
      </c>
    </row>
    <row r="35" spans="3:26" ht="33" customHeight="1" x14ac:dyDescent="0.3">
      <c r="P35" s="90" t="s">
        <v>23</v>
      </c>
      <c r="Q35" s="98">
        <f>$H$12/$I$12*$R$35</f>
        <v>0</v>
      </c>
      <c r="R35" s="62">
        <v>24</v>
      </c>
      <c r="S35" s="94">
        <f>$H$12/$I$12*T35</f>
        <v>0</v>
      </c>
      <c r="T35" s="61">
        <v>18</v>
      </c>
    </row>
    <row r="36" spans="3:26" ht="33" customHeight="1" x14ac:dyDescent="0.3">
      <c r="P36" s="90" t="s">
        <v>18</v>
      </c>
      <c r="Q36" s="98" t="e">
        <f>($H$16/$L$16*L13)/$I$16*R36</f>
        <v>#NUM!</v>
      </c>
      <c r="R36" s="62">
        <f>ROUNDDOWN($M$13/24*20,0)</f>
        <v>97</v>
      </c>
      <c r="S36" s="94" t="e">
        <f>($H$16/$L$16*L13)/$I$16*T36</f>
        <v>#NUM!</v>
      </c>
      <c r="T36" s="61">
        <v>73</v>
      </c>
    </row>
    <row r="37" spans="3:26" ht="33" customHeight="1" x14ac:dyDescent="0.3">
      <c r="P37" s="90" t="s">
        <v>17</v>
      </c>
      <c r="Q37" s="98" t="e">
        <f>($H$16/$L$16*L14)/$I$16*R37</f>
        <v>#NUM!</v>
      </c>
      <c r="R37" s="62">
        <f>ROUNDDOWN($I$14/113*20,0)</f>
        <v>12</v>
      </c>
      <c r="S37" s="94" t="e">
        <f>($H$16/$L$16*L14)/$I$16*T37</f>
        <v>#NUM!</v>
      </c>
      <c r="T37" s="61">
        <v>9</v>
      </c>
    </row>
    <row r="38" spans="3:26" ht="33" customHeight="1" x14ac:dyDescent="0.3">
      <c r="P38" s="89" t="s">
        <v>19</v>
      </c>
      <c r="Q38" s="99" t="e">
        <f>H15/I15*R38</f>
        <v>#NUM!</v>
      </c>
      <c r="R38" s="61">
        <v>57</v>
      </c>
      <c r="S38" s="95" t="e">
        <f>H15/I15*T38</f>
        <v>#NUM!</v>
      </c>
      <c r="T38" s="61">
        <v>42</v>
      </c>
      <c r="Z38" s="30"/>
    </row>
    <row r="39" spans="3:26" ht="33" customHeight="1" x14ac:dyDescent="0.3">
      <c r="P39" s="89" t="s">
        <v>22</v>
      </c>
      <c r="Q39" s="99" t="e">
        <f>H16/I16*R39</f>
        <v>#NUM!</v>
      </c>
      <c r="R39" s="61">
        <v>67</v>
      </c>
      <c r="S39" s="95" t="e">
        <f>H16/I16*T39</f>
        <v>#NUM!</v>
      </c>
      <c r="T39" s="61">
        <v>50</v>
      </c>
    </row>
    <row r="40" spans="3:26" ht="33" customHeight="1" x14ac:dyDescent="0.3">
      <c r="P40" s="89" t="s">
        <v>28</v>
      </c>
      <c r="Q40" s="99" t="e">
        <f>H17/I17*R40</f>
        <v>#NUM!</v>
      </c>
      <c r="R40" s="61">
        <v>3</v>
      </c>
      <c r="S40" s="95" t="e">
        <f>H17/I17*T40</f>
        <v>#NUM!</v>
      </c>
      <c r="T40" s="61">
        <v>3</v>
      </c>
    </row>
    <row r="41" spans="3:26" ht="33" customHeight="1" x14ac:dyDescent="0.3">
      <c r="P41" s="90" t="s">
        <v>27</v>
      </c>
      <c r="Q41" s="99">
        <f>H18/I18*R41</f>
        <v>0</v>
      </c>
      <c r="R41" s="62">
        <v>1</v>
      </c>
      <c r="S41" s="95">
        <f>H18/I18*T41</f>
        <v>0</v>
      </c>
      <c r="T41" s="61">
        <v>1</v>
      </c>
    </row>
    <row r="42" spans="3:26" ht="33" customHeight="1" x14ac:dyDescent="0.3">
      <c r="P42" s="89" t="s">
        <v>21</v>
      </c>
      <c r="Q42" s="98" t="e">
        <f>($H$16/$L$16*L19)/$I$16*R42</f>
        <v>#NUM!</v>
      </c>
      <c r="R42" s="61">
        <v>170</v>
      </c>
      <c r="S42" s="94" t="e">
        <f>($H$16/$L$16*L19)/$I$16*T42</f>
        <v>#NUM!</v>
      </c>
      <c r="T42" s="61">
        <v>135</v>
      </c>
    </row>
    <row r="43" spans="3:26" ht="33" customHeight="1" x14ac:dyDescent="0.3">
      <c r="P43" s="90" t="s">
        <v>13</v>
      </c>
      <c r="Q43" s="98" t="e">
        <f>($H$16/$L$16*L20)/$I$16*R43</f>
        <v>#NUM!</v>
      </c>
      <c r="R43" s="62">
        <v>9</v>
      </c>
      <c r="S43" s="94" t="e">
        <f>($H$16/$L$16*L20)/$I$16*T43</f>
        <v>#NUM!</v>
      </c>
      <c r="T43" s="61">
        <v>6</v>
      </c>
    </row>
    <row r="44" spans="3:26" ht="33" customHeight="1" x14ac:dyDescent="0.3">
      <c r="P44" s="89" t="s">
        <v>26</v>
      </c>
      <c r="Q44" s="98" t="e">
        <f>($H$16/$L$16*L21)/$I$16*R44</f>
        <v>#NUM!</v>
      </c>
      <c r="R44" s="61">
        <v>10</v>
      </c>
      <c r="S44" s="94" t="e">
        <f>($H$16/$L$16*L21)/$I$16*T44</f>
        <v>#NUM!</v>
      </c>
      <c r="T44" s="61">
        <v>5</v>
      </c>
    </row>
    <row r="45" spans="3:26" ht="33" customHeight="1" x14ac:dyDescent="0.3">
      <c r="P45" s="89" t="s">
        <v>25</v>
      </c>
      <c r="Q45" s="98" t="e">
        <f>($H$16/$L$16*L22)/$I$16*R45</f>
        <v>#NUM!</v>
      </c>
      <c r="R45" s="61">
        <v>9</v>
      </c>
      <c r="S45" s="94" t="e">
        <f>($H$16/$L$16*L22)/$I$16*T45</f>
        <v>#NUM!</v>
      </c>
      <c r="T45" s="61">
        <v>7</v>
      </c>
    </row>
    <row r="46" spans="3:26" ht="33" customHeight="1" thickBot="1" x14ac:dyDescent="0.35">
      <c r="P46" s="91" t="s">
        <v>37</v>
      </c>
      <c r="Q46" s="100" t="e">
        <f>SUM(Q28:Q45)</f>
        <v>#NUM!</v>
      </c>
      <c r="R46" s="46"/>
      <c r="S46" s="96" t="e">
        <f>SUM(S28:S45)</f>
        <v>#NUM!</v>
      </c>
      <c r="T46" s="46"/>
    </row>
    <row r="47" spans="3:26" ht="33" customHeight="1" x14ac:dyDescent="0.3"/>
    <row r="48" spans="3:26" ht="33" customHeight="1" x14ac:dyDescent="0.3">
      <c r="N48" s="2" t="s">
        <v>81</v>
      </c>
      <c r="O48" s="2"/>
      <c r="P48" s="2"/>
      <c r="Q48" s="2"/>
      <c r="R48" s="2"/>
      <c r="S48" s="2"/>
      <c r="T48" s="2"/>
      <c r="U48" s="2"/>
    </row>
    <row r="49" spans="14:21" ht="33" customHeight="1" x14ac:dyDescent="0.3">
      <c r="N49" s="2" t="s">
        <v>99</v>
      </c>
      <c r="O49" s="2"/>
      <c r="P49" s="2"/>
      <c r="Q49" s="2" t="s">
        <v>66</v>
      </c>
      <c r="R49" s="2"/>
      <c r="S49" s="2" t="s">
        <v>68</v>
      </c>
      <c r="T49" s="2"/>
    </row>
    <row r="50" spans="14:21" ht="33" customHeight="1" x14ac:dyDescent="0.3">
      <c r="N50" s="2" t="s">
        <v>63</v>
      </c>
      <c r="O50" s="2"/>
      <c r="P50" s="2"/>
      <c r="Q50" s="2" t="s">
        <v>67</v>
      </c>
      <c r="R50" s="2"/>
      <c r="S50" s="2" t="s">
        <v>94</v>
      </c>
      <c r="T50" s="2"/>
    </row>
    <row r="51" spans="14:21" ht="33" customHeight="1" x14ac:dyDescent="0.3">
      <c r="N51" s="2" t="s">
        <v>83</v>
      </c>
      <c r="O51" s="2"/>
      <c r="P51" s="2"/>
      <c r="Q51" s="2" t="s">
        <v>78</v>
      </c>
      <c r="R51" s="2"/>
      <c r="S51" s="2" t="s">
        <v>77</v>
      </c>
      <c r="T51" s="2"/>
      <c r="U51" s="2"/>
    </row>
    <row r="52" spans="14:21" ht="33" customHeight="1" x14ac:dyDescent="0.3">
      <c r="N52" s="2" t="s">
        <v>89</v>
      </c>
      <c r="O52" s="2"/>
      <c r="P52" s="2"/>
      <c r="Q52" s="2"/>
      <c r="R52" s="2"/>
      <c r="S52" s="2" t="s">
        <v>75</v>
      </c>
      <c r="T52" s="2"/>
      <c r="U52" s="2"/>
    </row>
    <row r="53" spans="14:21" ht="33" customHeight="1" x14ac:dyDescent="0.3">
      <c r="S53" s="2" t="s">
        <v>76</v>
      </c>
    </row>
    <row r="54" spans="14:21" ht="33" customHeight="1" x14ac:dyDescent="0.3"/>
    <row r="55" spans="14:21" ht="33" customHeight="1" x14ac:dyDescent="0.3"/>
    <row r="56" spans="14:21" ht="33" customHeight="1" x14ac:dyDescent="0.3"/>
    <row r="57" spans="14:21" ht="33" customHeight="1" x14ac:dyDescent="0.3"/>
    <row r="58" spans="14:21" ht="33" customHeight="1" x14ac:dyDescent="0.3"/>
    <row r="59" spans="14:21" ht="33" customHeight="1" x14ac:dyDescent="0.3"/>
    <row r="60" spans="14:21" ht="33" customHeight="1" x14ac:dyDescent="0.3"/>
    <row r="61" spans="14:21" ht="33" customHeight="1" x14ac:dyDescent="0.3"/>
    <row r="62" spans="14:21" ht="33" customHeight="1" x14ac:dyDescent="0.3"/>
    <row r="63" spans="14:21" ht="33" customHeight="1" x14ac:dyDescent="0.3"/>
    <row r="64" spans="14:21" ht="33" customHeight="1" x14ac:dyDescent="0.3"/>
    <row r="65" ht="33" customHeight="1" x14ac:dyDescent="0.3"/>
    <row r="66" ht="33" customHeight="1" x14ac:dyDescent="0.3"/>
    <row r="67" ht="33" customHeight="1" x14ac:dyDescent="0.3"/>
    <row r="68" ht="33" customHeight="1" x14ac:dyDescent="0.3"/>
    <row r="69" ht="33" customHeight="1" x14ac:dyDescent="0.3"/>
    <row r="70" ht="33" customHeight="1" x14ac:dyDescent="0.3"/>
    <row r="71" ht="33" customHeight="1" x14ac:dyDescent="0.3"/>
    <row r="72" ht="33" customHeight="1" x14ac:dyDescent="0.3"/>
    <row r="73" ht="33" customHeight="1" x14ac:dyDescent="0.3"/>
    <row r="74" ht="33" customHeight="1" x14ac:dyDescent="0.3"/>
    <row r="75" ht="33" customHeight="1" x14ac:dyDescent="0.3"/>
    <row r="76" ht="33" customHeight="1" x14ac:dyDescent="0.3"/>
    <row r="77" ht="33" customHeight="1" x14ac:dyDescent="0.3"/>
    <row r="78" ht="33" customHeight="1" x14ac:dyDescent="0.3"/>
    <row r="79" ht="33" customHeight="1" x14ac:dyDescent="0.3"/>
    <row r="80" ht="33" customHeight="1" x14ac:dyDescent="0.3"/>
    <row r="81" ht="33" customHeight="1" x14ac:dyDescent="0.3"/>
    <row r="82" ht="33" customHeight="1" x14ac:dyDescent="0.3"/>
    <row r="83" ht="33" customHeight="1" x14ac:dyDescent="0.3"/>
    <row r="84" ht="33" customHeight="1" x14ac:dyDescent="0.3"/>
    <row r="85" ht="33" customHeight="1" x14ac:dyDescent="0.3"/>
    <row r="86" ht="33" customHeight="1" x14ac:dyDescent="0.3"/>
    <row r="87" ht="33" customHeight="1" x14ac:dyDescent="0.3"/>
    <row r="88" ht="33" customHeight="1" x14ac:dyDescent="0.3"/>
    <row r="89" ht="33" customHeight="1" x14ac:dyDescent="0.3"/>
    <row r="90" ht="33" customHeight="1" x14ac:dyDescent="0.3"/>
    <row r="91" ht="33" customHeight="1" x14ac:dyDescent="0.3"/>
    <row r="92" ht="33" customHeight="1" x14ac:dyDescent="0.3"/>
    <row r="93" ht="33" customHeight="1" x14ac:dyDescent="0.3"/>
    <row r="94" ht="33" customHeight="1" x14ac:dyDescent="0.3"/>
    <row r="95" ht="33" customHeight="1" x14ac:dyDescent="0.3"/>
    <row r="96" ht="33" customHeight="1" x14ac:dyDescent="0.3"/>
    <row r="97" ht="33" customHeight="1" x14ac:dyDescent="0.3"/>
    <row r="98" ht="33" customHeight="1" x14ac:dyDescent="0.3"/>
    <row r="99" ht="33" customHeight="1" x14ac:dyDescent="0.3"/>
    <row r="100" ht="33" customHeight="1" x14ac:dyDescent="0.3"/>
    <row r="101" ht="33" customHeight="1" x14ac:dyDescent="0.3"/>
    <row r="102" ht="33" customHeight="1" x14ac:dyDescent="0.3"/>
    <row r="103" ht="33" customHeight="1" x14ac:dyDescent="0.3"/>
    <row r="104" ht="33" customHeight="1" x14ac:dyDescent="0.3"/>
    <row r="105" ht="33" customHeight="1" x14ac:dyDescent="0.3"/>
    <row r="106" ht="33" customHeight="1" x14ac:dyDescent="0.3"/>
    <row r="107" ht="33" customHeight="1" x14ac:dyDescent="0.3"/>
    <row r="108" ht="33" customHeight="1" x14ac:dyDescent="0.3"/>
    <row r="109" ht="33" customHeight="1" x14ac:dyDescent="0.3"/>
    <row r="110" ht="33" customHeight="1" x14ac:dyDescent="0.3"/>
    <row r="111" ht="33" customHeight="1" x14ac:dyDescent="0.3"/>
    <row r="112" ht="33" customHeight="1" x14ac:dyDescent="0.3"/>
  </sheetData>
  <mergeCells count="48">
    <mergeCell ref="P25:T25"/>
    <mergeCell ref="Q26:R26"/>
    <mergeCell ref="S26:T26"/>
    <mergeCell ref="B18:E18"/>
    <mergeCell ref="B19:E19"/>
    <mergeCell ref="V19:AB19"/>
    <mergeCell ref="B20:E20"/>
    <mergeCell ref="U20:U23"/>
    <mergeCell ref="W20:Y20"/>
    <mergeCell ref="Z20:AB20"/>
    <mergeCell ref="B9:B10"/>
    <mergeCell ref="B11:C11"/>
    <mergeCell ref="K11:K13"/>
    <mergeCell ref="B12:C12"/>
    <mergeCell ref="B13:C13"/>
    <mergeCell ref="B15:E15"/>
    <mergeCell ref="K15:K17"/>
    <mergeCell ref="B16:E16"/>
    <mergeCell ref="B17:E17"/>
    <mergeCell ref="Z4:AB4"/>
    <mergeCell ref="B6:B8"/>
    <mergeCell ref="K6:K8"/>
    <mergeCell ref="H7:H8"/>
    <mergeCell ref="I7:I8"/>
    <mergeCell ref="J7:J8"/>
    <mergeCell ref="M3:N3"/>
    <mergeCell ref="P3:Q3"/>
    <mergeCell ref="X3:Y3"/>
    <mergeCell ref="M4:O4"/>
    <mergeCell ref="P4:R4"/>
    <mergeCell ref="X4:Y4"/>
    <mergeCell ref="L1:L4"/>
    <mergeCell ref="M1:O1"/>
    <mergeCell ref="P1:T1"/>
    <mergeCell ref="W1:Y1"/>
    <mergeCell ref="Z1:AB1"/>
    <mergeCell ref="B2:D2"/>
    <mergeCell ref="N2:O2"/>
    <mergeCell ref="Q2:R2"/>
    <mergeCell ref="S2:S4"/>
    <mergeCell ref="T2:T4"/>
    <mergeCell ref="B1:D1"/>
    <mergeCell ref="G1:G3"/>
    <mergeCell ref="H1:H3"/>
    <mergeCell ref="I1:I3"/>
    <mergeCell ref="J1:J3"/>
    <mergeCell ref="K1:K3"/>
    <mergeCell ref="B3:B5"/>
  </mergeCells>
  <phoneticPr fontId="3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EFC4-8CCA-D344-AF5F-1B1F8FDE4DA4}">
  <dimension ref="B1:AE112"/>
  <sheetViews>
    <sheetView showGridLines="0" zoomScale="85" zoomScaleNormal="85" zoomScaleSheetLayoutView="100" workbookViewId="0">
      <selection activeCell="E13" sqref="E13"/>
    </sheetView>
  </sheetViews>
  <sheetFormatPr defaultRowHeight="16.5" x14ac:dyDescent="0.3"/>
  <cols>
    <col min="1" max="1" width="3.625" customWidth="1"/>
    <col min="2" max="5" width="12.625" style="1" customWidth="1"/>
    <col min="6" max="6" width="8.875" style="1"/>
    <col min="7" max="7" width="14.375" bestFit="1" customWidth="1"/>
    <col min="8" max="8" width="15.625" customWidth="1"/>
    <col min="9" max="11" width="10.625" customWidth="1"/>
    <col min="12" max="12" width="10.625" hidden="1" customWidth="1"/>
    <col min="13" max="15" width="12.625" hidden="1" customWidth="1"/>
    <col min="16" max="21" width="15.625" hidden="1" customWidth="1"/>
    <col min="22" max="22" width="15.625" customWidth="1"/>
    <col min="23" max="23" width="10.625" customWidth="1"/>
    <col min="24" max="31" width="10.625" style="2" customWidth="1"/>
  </cols>
  <sheetData>
    <row r="1" spans="2:31" ht="33" customHeight="1" x14ac:dyDescent="0.3">
      <c r="B1" s="150" t="s">
        <v>45</v>
      </c>
      <c r="C1" s="150"/>
      <c r="D1" s="150"/>
      <c r="E1" s="28"/>
      <c r="G1" s="114" t="s">
        <v>16</v>
      </c>
      <c r="H1" s="136" t="s">
        <v>34</v>
      </c>
      <c r="I1" s="161" t="s">
        <v>35</v>
      </c>
      <c r="J1" s="158" t="s">
        <v>36</v>
      </c>
      <c r="K1" s="155" t="s">
        <v>0</v>
      </c>
      <c r="L1" s="164" t="s">
        <v>15</v>
      </c>
      <c r="M1" s="153" t="s">
        <v>1</v>
      </c>
      <c r="N1" s="153"/>
      <c r="O1" s="154"/>
      <c r="P1" s="141" t="s">
        <v>30</v>
      </c>
      <c r="Q1" s="142"/>
      <c r="R1" s="142"/>
      <c r="S1" s="142"/>
      <c r="T1" s="143"/>
      <c r="U1" s="1"/>
      <c r="V1" s="1"/>
      <c r="W1" s="191"/>
      <c r="X1" s="103" t="s">
        <v>47</v>
      </c>
      <c r="Y1" s="104"/>
      <c r="Z1" s="105"/>
      <c r="AA1" s="103" t="s">
        <v>48</v>
      </c>
      <c r="AB1" s="104"/>
      <c r="AC1" s="106"/>
      <c r="AE1"/>
    </row>
    <row r="2" spans="2:31" ht="33" customHeight="1" thickBot="1" x14ac:dyDescent="0.35">
      <c r="B2" s="139" t="s">
        <v>100</v>
      </c>
      <c r="C2" s="140"/>
      <c r="D2" s="140"/>
      <c r="E2" s="37"/>
      <c r="G2" s="115"/>
      <c r="H2" s="137"/>
      <c r="I2" s="162"/>
      <c r="J2" s="159"/>
      <c r="K2" s="156"/>
      <c r="L2" s="165"/>
      <c r="M2" s="12" t="s">
        <v>29</v>
      </c>
      <c r="N2" s="117"/>
      <c r="O2" s="167"/>
      <c r="P2" s="13"/>
      <c r="Q2" s="117"/>
      <c r="R2" s="118"/>
      <c r="S2" s="144" t="s">
        <v>43</v>
      </c>
      <c r="T2" s="147" t="s">
        <v>37</v>
      </c>
      <c r="U2" s="1"/>
      <c r="V2" s="1"/>
      <c r="W2" s="20" t="s">
        <v>49</v>
      </c>
      <c r="X2" s="58">
        <v>4</v>
      </c>
      <c r="Y2" s="58">
        <v>5</v>
      </c>
      <c r="Z2" s="58">
        <v>6</v>
      </c>
      <c r="AA2" s="58">
        <v>4</v>
      </c>
      <c r="AB2" s="58">
        <v>5</v>
      </c>
      <c r="AC2" s="59">
        <v>6</v>
      </c>
      <c r="AE2"/>
    </row>
    <row r="3" spans="2:31" ht="33" customHeight="1" x14ac:dyDescent="0.3">
      <c r="B3" s="151" t="s">
        <v>2</v>
      </c>
      <c r="C3" s="22" t="s">
        <v>3</v>
      </c>
      <c r="D3" s="6">
        <v>7783</v>
      </c>
      <c r="G3" s="116"/>
      <c r="H3" s="138"/>
      <c r="I3" s="163"/>
      <c r="J3" s="160"/>
      <c r="K3" s="157"/>
      <c r="L3" s="165"/>
      <c r="M3" s="133" t="s">
        <v>4</v>
      </c>
      <c r="N3" s="133"/>
      <c r="O3" s="17"/>
      <c r="P3" s="128"/>
      <c r="Q3" s="129"/>
      <c r="R3" s="16"/>
      <c r="S3" s="145"/>
      <c r="T3" s="148"/>
      <c r="U3" s="1"/>
      <c r="V3" s="1"/>
      <c r="W3" s="20" t="s">
        <v>50</v>
      </c>
      <c r="X3" s="16" t="s">
        <v>52</v>
      </c>
      <c r="Y3" s="117" t="s">
        <v>51</v>
      </c>
      <c r="Z3" s="118"/>
      <c r="AA3" s="18" t="s">
        <v>53</v>
      </c>
      <c r="AB3" s="18" t="s">
        <v>54</v>
      </c>
      <c r="AC3" s="60" t="s">
        <v>55</v>
      </c>
      <c r="AE3"/>
    </row>
    <row r="4" spans="2:31" ht="33" customHeight="1" thickBot="1" x14ac:dyDescent="0.35">
      <c r="B4" s="125"/>
      <c r="C4" s="23" t="s">
        <v>5</v>
      </c>
      <c r="D4" s="7">
        <v>727</v>
      </c>
      <c r="G4" s="67" t="s">
        <v>96</v>
      </c>
      <c r="H4" s="189"/>
      <c r="I4" s="189"/>
      <c r="J4" s="190"/>
      <c r="K4" s="83">
        <v>30</v>
      </c>
      <c r="L4" s="166"/>
      <c r="M4" s="134" t="s">
        <v>6</v>
      </c>
      <c r="N4" s="134"/>
      <c r="O4" s="135"/>
      <c r="P4" s="130"/>
      <c r="Q4" s="130"/>
      <c r="R4" s="131"/>
      <c r="S4" s="146"/>
      <c r="T4" s="149"/>
      <c r="U4" s="1"/>
      <c r="V4" s="1"/>
      <c r="W4" s="21" t="s">
        <v>58</v>
      </c>
      <c r="X4" s="47" t="s">
        <v>56</v>
      </c>
      <c r="Y4" s="122" t="s">
        <v>57</v>
      </c>
      <c r="Z4" s="123"/>
      <c r="AA4" s="119" t="str">
        <f>"8 / 12"</f>
        <v>8 / 12</v>
      </c>
      <c r="AB4" s="120"/>
      <c r="AC4" s="121"/>
      <c r="AE4"/>
    </row>
    <row r="5" spans="2:31" ht="33" customHeight="1" thickBot="1" x14ac:dyDescent="0.35">
      <c r="B5" s="152"/>
      <c r="C5" s="24" t="s">
        <v>7</v>
      </c>
      <c r="D5" s="15">
        <v>30350</v>
      </c>
      <c r="G5" s="68" t="s">
        <v>24</v>
      </c>
      <c r="H5" s="31">
        <v>293456605855438</v>
      </c>
      <c r="I5" s="10">
        <v>403</v>
      </c>
      <c r="J5" s="19">
        <f>H5/$H$23</f>
        <v>0.23470925253515296</v>
      </c>
      <c r="K5" s="84">
        <v>30</v>
      </c>
      <c r="L5" s="80">
        <f>2.2*(350+6*$K$5)*11</f>
        <v>12826</v>
      </c>
      <c r="M5" s="39">
        <v>0</v>
      </c>
      <c r="N5" s="40">
        <f>ROUNDDOWN(I5/89*(65+3-24+ROUNDUP($K$4/2,0)),0)</f>
        <v>267</v>
      </c>
      <c r="O5" s="41">
        <f>ROUNDDOWN(I5/89*(94-(65+ROUNDUP($K$4/2,0))),0)</f>
        <v>63</v>
      </c>
      <c r="P5" s="34">
        <f t="shared" ref="P5:P22" si="0">(ROUNDDOWN($D$3*($D$4+100)/100+$D$5,0)*4+ROUNDDOWN($D$6*($D$7+100)/100+$D$8,0))*0.01*ROUNDDOWN(($D$9+100)*($D$10+100)/100,0)*($D$11+135)/100*0.955*1.24*(1.25*1.2*1.25*1.23*1.1)*(1.1*(134+ROUNDDOWN($K$4/5,0))/100*1.06)*1.2*$L5/100*M5*0.01</f>
        <v>0</v>
      </c>
      <c r="Q5" s="35">
        <f>(ROUNDDOWN($D$3*($D$4+100)/100+$D$5,0)*4+ROUNDDOWN($D$6*($D$7+100)/100+$D$8,0))*0.01*ROUNDDOWN(($D$9+100)*($D$10+100)/100,0)*($D$11+135)/100*0.955*1.24*(1.25*1.2*1.25*1.23*1.1)*((134+ROUNDDOWN($K$4/5,0))/100*1.06)*1.2*$L5/100*N5*0.01*(1-(3.8*0.84*0.8*0.8*(100-$D$12)/100))</f>
        <v>224433431053.53879</v>
      </c>
      <c r="R5" s="35">
        <f>(ROUNDDOWN($D$3*($D$4+100)/100+$D$5,0)*4+ROUNDDOWN($D$6*($D$7+100)/100+$D$8,0))*0.01*ROUNDDOWN(($D$9+100)*($D$10+100)/100,0)*($D$11+135)/100*0.955*1.24*(1.25*1.2*1.25*1.23*1.1)*(1.06)*1.2*$L5/100*O5*0.01*(1-(3.8*0.84*0.8*0.8*(100-$D$12)/100))</f>
        <v>37825859166.326775</v>
      </c>
      <c r="S5" s="36">
        <f>(ROUNDDOWN($D$3*($D$4+100)/100+$D$5,0)*4+ROUNDDOWN($D$6*($D$7+100)/100+$D$8,0))*0.01*ROUNDDOWN(($D$9+100)*($D$10+100)/100,0)*($D$11+135)/100*0.955*1.24*(1.25*1.2*1.25*1.23*1.1)*(1.06)*1.2*$L5/100*(I5-M5-N5-O5)*0.01*(1-(3.8*0.8*0.8*(100-$D$12)/100))</f>
        <v>43253829811.759575</v>
      </c>
      <c r="T5" s="69">
        <f t="shared" ref="T5:T22" si="1">SUM(P5:S5)</f>
        <v>305513120031.62512</v>
      </c>
      <c r="U5" s="3">
        <f>H5/T5</f>
        <v>960.53683660152114</v>
      </c>
      <c r="V5" s="3"/>
      <c r="W5" s="2"/>
      <c r="AE5"/>
    </row>
    <row r="6" spans="2:31" ht="33" customHeight="1" thickTop="1" x14ac:dyDescent="0.3">
      <c r="B6" s="124" t="s">
        <v>8</v>
      </c>
      <c r="C6" s="25" t="s">
        <v>3</v>
      </c>
      <c r="D6" s="14">
        <v>3921</v>
      </c>
      <c r="G6" s="70" t="s">
        <v>31</v>
      </c>
      <c r="H6" s="32">
        <v>43199086342678</v>
      </c>
      <c r="I6" s="4">
        <v>166</v>
      </c>
      <c r="J6" s="19">
        <f>H6/$H$23</f>
        <v>3.4551020707593992E-2</v>
      </c>
      <c r="K6" s="113">
        <v>30</v>
      </c>
      <c r="L6" s="81">
        <f>2.2*(243+8*$K$6)*4</f>
        <v>4250.4000000000005</v>
      </c>
      <c r="M6" s="42">
        <f>ROUNDDOWN(I6/113*24,0)</f>
        <v>35</v>
      </c>
      <c r="N6" s="38">
        <f>ROUNDDOWN(I6/113*(65+3-24+ROUNDUP($K$4/2,0)),0)</f>
        <v>86</v>
      </c>
      <c r="O6" s="43">
        <f>ROUNDDOWN(I6/113*(94-(65+ROUNDUP($K$4/2,0))),0)</f>
        <v>20</v>
      </c>
      <c r="P6" s="34">
        <f t="shared" si="0"/>
        <v>11464558376.033583</v>
      </c>
      <c r="Q6" s="35">
        <f>(ROUNDDOWN($D$3*($D$4+100)/100+$D$5,0)*4+ROUNDDOWN($D$6*($D$7+100)/100+$D$8,0))*0.01*ROUNDDOWN(($D$9+100)*($D$10+100)/100,0)*($D$11+135)/100*0.955*1.24*(1.25*1.2*1.25*1.23*1.1)*((134+ROUNDDOWN($K$4/5,0))/100*1.06)*1.2*$L6/100*N6*0.01*(1-(3.8*0.84*0.8*(100-$D$12)/100))</f>
        <v>23542645315.276539</v>
      </c>
      <c r="R6" s="35">
        <f>(ROUNDDOWN($D$3*($D$4+100)/100+$D$5,0)*4+ROUNDDOWN($D$6*($D$7+100)/100+$D$8,0))*0.01*ROUNDDOWN(($D$9+100)*($D$10+100)/100,0)*($D$11+135)/100*0.955*1.24*(1.25*1.2*1.25*1.23*1.1)*(1.06)*1.2*$L6/100*O6*0.01*(1-(3.8*0.84*0.8*(100-$D$12)/100))</f>
        <v>3910738424.4645419</v>
      </c>
      <c r="S6" s="36">
        <f>(ROUNDDOWN($D$3*($D$4+100)/100+$D$5,0)*4+ROUNDDOWN($D$6*($D$7+100)/100+$D$8,0))*0.01*ROUNDDOWN(($D$9+100)*($D$10+100)/100,0)*($D$11+135)/100*0.955*1.24*(1.25*1.2*1.25*1.23*1.1)*(1.06)*1.2*$L6/100*(I6-M6-N6-O6)*0.01*(1-(3.8*0.8*(100-$D$12)/100))</f>
        <v>4806691577.0864077</v>
      </c>
      <c r="T6" s="69">
        <f t="shared" si="1"/>
        <v>43724633692.861069</v>
      </c>
      <c r="U6" s="3">
        <f t="shared" ref="U6:U22" si="2">H6/T6</f>
        <v>987.98052022860338</v>
      </c>
      <c r="V6" s="3"/>
      <c r="W6" s="2" t="s">
        <v>38</v>
      </c>
      <c r="AE6"/>
    </row>
    <row r="7" spans="2:31" ht="33" customHeight="1" x14ac:dyDescent="0.3">
      <c r="B7" s="125"/>
      <c r="C7" s="23" t="s">
        <v>5</v>
      </c>
      <c r="D7" s="7">
        <v>230</v>
      </c>
      <c r="G7" s="70" t="s">
        <v>32</v>
      </c>
      <c r="H7" s="132">
        <v>84941233686423</v>
      </c>
      <c r="I7" s="172">
        <v>71</v>
      </c>
      <c r="J7" s="173">
        <f>H7/$H$23</f>
        <v>6.7936768401714462E-2</v>
      </c>
      <c r="K7" s="113"/>
      <c r="L7" s="81">
        <f>2.2*(890+27*$K$6)*10</f>
        <v>37400.000000000007</v>
      </c>
      <c r="M7" s="42">
        <v>6</v>
      </c>
      <c r="N7" s="38">
        <f>ROUNDDOWN(($I$7-5*ROUNDDOWN(I7/8+1,0))/113*(65+3-24+ROUNDUP($K$4/2,0)),0)</f>
        <v>13</v>
      </c>
      <c r="O7" s="43">
        <f>ROUNDDOWN(($I$7-5*ROUNDDOWN(I7/8+1,0))/113*13,0)</f>
        <v>2</v>
      </c>
      <c r="P7" s="34">
        <f t="shared" si="0"/>
        <v>17293477585.853676</v>
      </c>
      <c r="Q7" s="35">
        <f>(ROUNDDOWN($D$3*($D$4+100)/100+$D$5,0)*4+ROUNDDOWN($D$6*($D$7+100)/100+$D$8,0))*0.01*ROUNDDOWN(($D$9+100)*($D$10+100)/100,0)*($D$11+135)/100*0.955*1.24*(1.25*1.2*1.25*1.23*1.1)*((134+ROUNDDOWN($K$4/5,0))/100*1.06)*1.2*$L7/100*N7*0.01*(1-(3.8*0.84*0.8*(100-$D$12)/100))</f>
        <v>31314246079.951588</v>
      </c>
      <c r="R7" s="35">
        <f>(ROUNDDOWN($D$3*($D$4+100)/100+$D$5,0)*4+ROUNDDOWN($D$6*($D$7+100)/100+$D$8,0))*0.01*ROUNDDOWN(($D$9+100)*($D$10+100)/100,0)*($D$11+135)/100*0.955*1.24*(1.25*1.2*1.25*1.23*1.1)*(1.06)*1.2*$L7/100*O7*0.01*(1-(3.8*0.84*0.8*(100-$D$12)/100))</f>
        <v>3441125942.8518224</v>
      </c>
      <c r="S7" s="36">
        <f>(ROUNDDOWN($D$3*($D$4+100)/100+$D$5,0)*4+ROUNDDOWN($D$6*($D$7+100)/100+$D$8,0))*0.01*ROUNDDOWN(($D$9+100)*($D$10+100)/100,0)*($D$11+135)/100*0.955*1.24*(1.25*1.2*1.25*1.23*1.1)*(1.06)*1.2*$L7/100*(I7-5*ROUNDDOWN(I7/8+1,0)-M7-N7-O7)*0.01*(1-(3.8*0.8*(100-$D$12)/100))</f>
        <v>8458981036.280427</v>
      </c>
      <c r="T7" s="69">
        <f t="shared" si="1"/>
        <v>60507830644.937515</v>
      </c>
      <c r="U7" s="3">
        <f>H7/(T7+T8)</f>
        <v>988.12318338158718</v>
      </c>
      <c r="V7" s="3"/>
      <c r="W7" s="2" t="s">
        <v>39</v>
      </c>
      <c r="AE7"/>
    </row>
    <row r="8" spans="2:31" ht="33" customHeight="1" thickBot="1" x14ac:dyDescent="0.35">
      <c r="B8" s="126"/>
      <c r="C8" s="26" t="s">
        <v>7</v>
      </c>
      <c r="D8" s="9">
        <v>280</v>
      </c>
      <c r="G8" s="70" t="s">
        <v>33</v>
      </c>
      <c r="H8" s="132"/>
      <c r="I8" s="172"/>
      <c r="J8" s="173"/>
      <c r="K8" s="113"/>
      <c r="L8" s="81">
        <f>2.2*(245+9*$K$6)*8*5</f>
        <v>45320</v>
      </c>
      <c r="M8" s="42">
        <v>3</v>
      </c>
      <c r="N8" s="38">
        <v>3</v>
      </c>
      <c r="O8" s="43">
        <v>2</v>
      </c>
      <c r="P8" s="34">
        <f t="shared" si="0"/>
        <v>10477812890.25252</v>
      </c>
      <c r="Q8" s="35">
        <f>(ROUNDDOWN($D$3*($D$4+100)/100+$D$5,0)*4+ROUNDDOWN($D$6*($D$7+100)/100+$D$8,0))*0.01*ROUNDDOWN(($D$9+100)*($D$10+100)/100,0)*($D$11+135)/100*0.955*1.24*(1.25*1.2*1.25*1.23*1.1)*((134+ROUNDDOWN($K$4/5,0))/100*1.06)*1.2*$L8/100*N8*0.01*(1-(3.8*0.84*0.8*(100-$D$12)/100))</f>
        <v>8756653428.6923428</v>
      </c>
      <c r="R8" s="35">
        <f>(ROUNDDOWN($D$3*($D$4+100)/100+$D$5,0)*4+ROUNDDOWN($D$6*($D$7+100)/100+$D$8,0))*0.01*ROUNDDOWN(($D$9+100)*($D$10+100)/100,0)*($D$11+135)/100*0.955*1.24*(1.25*1.2*1.25*1.23*1.1)*(1.06)*1.2*$L8/100*O8*0.01*(1-(3.8*0.84*0.8*(100-$D$12)/100))</f>
        <v>4169834966.0439725</v>
      </c>
      <c r="S8" s="36">
        <f>(ROUNDDOWN($D$3*($D$4+100)/100+$D$5,0)*4+ROUNDDOWN($D$6*($D$7+100)/100+$D$8,0))*0.01*ROUNDDOWN(($D$9+100)*($D$10+100)/100,0)*($D$11+135)/100*0.955*1.24*(1.25*1.2*1.25*1.23*1.1)*(1.06)*1.2*$L8/100*(ROUNDDOWN(I7/8+1,0)-M8-N8-O8)*0.01*(1-(3.8*0.8*(100-$D$12)/100))</f>
        <v>2050058933.4985502</v>
      </c>
      <c r="T8" s="69">
        <f t="shared" si="1"/>
        <v>25454360218.487385</v>
      </c>
      <c r="U8" s="3"/>
      <c r="V8" s="3"/>
      <c r="W8" s="2" t="s">
        <v>40</v>
      </c>
      <c r="AE8"/>
    </row>
    <row r="9" spans="2:31" ht="33" customHeight="1" thickTop="1" x14ac:dyDescent="0.3">
      <c r="B9" s="127" t="s">
        <v>9</v>
      </c>
      <c r="C9" s="29" t="s">
        <v>3</v>
      </c>
      <c r="D9" s="11">
        <v>4334</v>
      </c>
      <c r="G9" s="70" t="s">
        <v>10</v>
      </c>
      <c r="H9" s="32">
        <v>97402244765948</v>
      </c>
      <c r="I9" s="4">
        <v>31</v>
      </c>
      <c r="J9" s="19">
        <f>H9/$H$23</f>
        <v>7.7903197979204836E-2</v>
      </c>
      <c r="K9" s="85">
        <v>30</v>
      </c>
      <c r="L9" s="81">
        <f>((10+K9+5*ROUNDDOWN(LOG(K9),0)+5*ROUNDDOWN(LOG(K9,20),0)+10*ROUNDDOWN(LOG(K9,30),0)+100)/100)*2000*15</f>
        <v>48000</v>
      </c>
      <c r="M9" s="42">
        <v>8</v>
      </c>
      <c r="N9" s="38">
        <f>ROUNDDOWN($I$9/113*(65+3-24+ROUNDUP($K$4/2,0)),0)</f>
        <v>16</v>
      </c>
      <c r="O9" s="43">
        <f>ROUNDDOWN($I$9/113*(94-(65+ROUNDUP($K$4/2,0))),0)</f>
        <v>3</v>
      </c>
      <c r="P9" s="34">
        <f t="shared" si="0"/>
        <v>29593116724.455482</v>
      </c>
      <c r="Q9" s="35">
        <f>(ROUNDDOWN($D$3*($D$4+100)/100+$D$5,0)*4+ROUNDDOWN($D$6*($D$7+100)/100+$D$8,0))*0.01*ROUNDDOWN(($D$9+100)*($D$10+100)/100,0)*($D$11+135)/100*0.955*1.24*(1.25*1.2*1.25*1.23*1.1)*((134+ROUNDDOWN($K$4/5,0))/100*1.06)*1.2*$L9/100*N9*0.01*(1-(3.8*0.84*(100-$D$12)/100))</f>
        <v>48378439820.339066</v>
      </c>
      <c r="R9" s="35">
        <f>(ROUNDDOWN($D$3*($D$4+100)/100+$D$5,0)*4+ROUNDDOWN($D$6*($D$7+100)/100+$D$8,0))*0.01*ROUNDDOWN(($D$9+100)*($D$10+100)/100,0)*($D$11+135)/100*0.955*1.24*(1.25*1.2*1.25*1.23*1.1)*(1.06)*1.2*$L9/100*O9*0.01*(1-(3.8*0.84*(100-$D$12)/100))</f>
        <v>6479255333.0811253</v>
      </c>
      <c r="S9" s="36">
        <f>(ROUNDDOWN($D$3*($D$4+100)/100+$D$5,0)*4+ROUNDDOWN($D$6*($D$7+100)/100+$D$8,0))*0.01*ROUNDDOWN(($D$9+100)*($D$10+100)/100,0)*($D$11+135)/100*0.955*1.24*(1.25*1.2*1.25*1.23*1.1)*(1.06)*1.2*$L9/100*(I9-M9-N9-O9)*0.01*(1-(3.8*(100-$D$12)/100))</f>
        <v>8454407554.6048288</v>
      </c>
      <c r="T9" s="69">
        <f t="shared" si="1"/>
        <v>92905219432.480515</v>
      </c>
      <c r="U9" s="3">
        <f t="shared" si="2"/>
        <v>1048.4044423008518</v>
      </c>
      <c r="V9" s="3"/>
      <c r="W9" s="2" t="s">
        <v>41</v>
      </c>
      <c r="AE9"/>
    </row>
    <row r="10" spans="2:31" ht="33" customHeight="1" thickBot="1" x14ac:dyDescent="0.35">
      <c r="B10" s="126"/>
      <c r="C10" s="26" t="s">
        <v>5</v>
      </c>
      <c r="D10" s="9">
        <v>144</v>
      </c>
      <c r="G10" s="71" t="s">
        <v>20</v>
      </c>
      <c r="H10" s="33">
        <v>49421519943095</v>
      </c>
      <c r="I10" s="18">
        <v>6</v>
      </c>
      <c r="J10" s="19">
        <f t="shared" ref="J10:J23" si="3">H10/$H$23</f>
        <v>3.9527779486106362E-2</v>
      </c>
      <c r="K10" s="85">
        <v>30</v>
      </c>
      <c r="L10" s="81">
        <f>(680+24*$K$10)*10*8</f>
        <v>112000</v>
      </c>
      <c r="M10" s="42">
        <v>3</v>
      </c>
      <c r="N10" s="38">
        <v>3</v>
      </c>
      <c r="O10" s="43">
        <v>0</v>
      </c>
      <c r="P10" s="34">
        <f t="shared" si="0"/>
        <v>25893977133.898544</v>
      </c>
      <c r="Q10" s="35">
        <f>(ROUNDDOWN($D$3*($D$4+100)/100+$D$5,0)*4+ROUNDDOWN($D$6*($D$7+100)/100+$D$8,0))*0.01*ROUNDDOWN(($D$9+100)*($D$10+100)/100,0)*($D$11+135)/100*0.955*1.24*(1.25*1.2*1.25*1.23*1.1)*((134+ROUNDDOWN($K$4/5,0))/100*1.06)*1.2*$L10/100*N10*0.01*(1-(3.8*0.84*(100-$D$12)/100))</f>
        <v>21165567421.398346</v>
      </c>
      <c r="R10" s="35">
        <f>(ROUNDDOWN($D$3*($D$4+100)/100+$D$5,0)*4+ROUNDDOWN($D$6*($D$7+100)/100+$D$8,0))*0.01*ROUNDDOWN(($D$9+100)*($D$10+100)/100,0)*($D$11+135)/100*0.955*1.24*(1.25*1.2*1.25*1.23*1.1)*(1.06)*1.2*$L10/100*O10*0.01*(1-(3.8*0.84*(100-$D$12)/100))</f>
        <v>0</v>
      </c>
      <c r="S10" s="36">
        <f>(ROUNDDOWN($D$3*($D$4+100)/100+$D$5,0)*4+ROUNDDOWN($D$6*($D$7+100)/100+$D$8,0))*0.01*ROUNDDOWN(($D$9+100)*($D$10+100)/100,0)*($D$11+135)/100*0.955*1.24*(1.25*1.2*1.25*1.23*1.1)*(1.06)*1.2*$L10/100*(I10-M10-N10-O10)*0.01*(1-(3.8*(100-$D$12)/100))</f>
        <v>0</v>
      </c>
      <c r="T10" s="69">
        <f t="shared" si="1"/>
        <v>47059544555.29689</v>
      </c>
      <c r="U10" s="3">
        <f t="shared" si="2"/>
        <v>1050.1912079710567</v>
      </c>
      <c r="V10" s="3"/>
      <c r="W10" s="2" t="s">
        <v>42</v>
      </c>
      <c r="AE10"/>
    </row>
    <row r="11" spans="2:31" ht="33" customHeight="1" thickTop="1" x14ac:dyDescent="0.3">
      <c r="B11" s="107" t="s">
        <v>11</v>
      </c>
      <c r="C11" s="108"/>
      <c r="D11" s="11">
        <v>173.75</v>
      </c>
      <c r="G11" s="70" t="s">
        <v>14</v>
      </c>
      <c r="H11" s="32">
        <v>57881368078962</v>
      </c>
      <c r="I11" s="4">
        <v>57</v>
      </c>
      <c r="J11" s="19">
        <f t="shared" si="3"/>
        <v>4.6294042684517353E-2</v>
      </c>
      <c r="K11" s="113">
        <v>30</v>
      </c>
      <c r="L11" s="81">
        <f>2.2*(645+24*$K$11)*5</f>
        <v>15015.000000000002</v>
      </c>
      <c r="M11" s="42">
        <f>$M$12</f>
        <v>25</v>
      </c>
      <c r="N11" s="38">
        <f>ROUNDDOWN(($I$11-$M$11)/113*(65+3-24+ROUNDUP($K$4/2,0)),0)</f>
        <v>16</v>
      </c>
      <c r="O11" s="43">
        <f>ROUNDDOWN(($I$11-$M$11)/113*(94-(65+ROUNDUP($K$4/2,0))),0)</f>
        <v>3</v>
      </c>
      <c r="P11" s="34">
        <f t="shared" si="0"/>
        <v>28928427579.277287</v>
      </c>
      <c r="Q11" s="35">
        <f>(ROUNDDOWN($D$3*($D$4+100)/100+$D$5,0)*4+ROUNDDOWN($D$6*($D$7+100)/100+$D$8,0))*0.01*ROUNDDOWN(($D$9+100)*($D$10+100)/100,0)*($D$11+135)/100*0.955*1.24*(1.25*1.2*1.25*1.23*1.1)*((134+ROUNDDOWN($K$4/5,0))/100*1.06)*1.2*$L11/100*N11*0.01*(1-(3.8*0.84*0.8*(100-$D$12)/100))</f>
        <v>15472921592.446663</v>
      </c>
      <c r="R11" s="35">
        <f>(ROUNDDOWN($D$3*($D$4+100)/100+$D$5,0)*4+ROUNDDOWN($D$6*($D$7+100)/100+$D$8,0))*0.01*ROUNDDOWN(($D$9+100)*($D$10+100)/100,0)*($D$11+135)/100*0.955*1.24*(1.25*1.2*1.25*1.23*1.1)*(1.06)*1.2*$L11/100*O11*0.01*(1-(3.8*0.84*0.8*(100-$D$12)/100))</f>
        <v>2072266284.7026787</v>
      </c>
      <c r="S11" s="36">
        <f>(ROUNDDOWN($D$3*($D$4+100)/100+$D$5,0)*4+ROUNDDOWN($D$6*($D$7+100)/100+$D$8,0))*0.01*ROUNDDOWN(($D$9+100)*($D$10+100)/100,0)*($D$11+135)/100*0.955*1.24*(1.25*1.2*1.25*1.23*1.1)*(1.06)*1.2*$L11/100*(I11-M11-N11-O11)*0.01*(1-(3.8*0.8*(100-$D$12)/100))</f>
        <v>8829683440.5174217</v>
      </c>
      <c r="T11" s="69">
        <f t="shared" si="1"/>
        <v>55303298896.944061</v>
      </c>
      <c r="U11" s="3">
        <f t="shared" si="2"/>
        <v>1046.6169149659966</v>
      </c>
      <c r="V11" s="3"/>
    </row>
    <row r="12" spans="2:31" ht="33" customHeight="1" x14ac:dyDescent="0.3">
      <c r="B12" s="109" t="s">
        <v>12</v>
      </c>
      <c r="C12" s="110"/>
      <c r="D12" s="7">
        <v>96.84</v>
      </c>
      <c r="G12" s="70" t="s">
        <v>23</v>
      </c>
      <c r="H12" s="32">
        <v>43313603710799</v>
      </c>
      <c r="I12" s="4">
        <v>25</v>
      </c>
      <c r="J12" s="19">
        <f t="shared" si="3"/>
        <v>3.4642612736322131E-2</v>
      </c>
      <c r="K12" s="113"/>
      <c r="L12" s="81">
        <f>2.2*(745+28*$K$11)*6</f>
        <v>20922.000000000004</v>
      </c>
      <c r="M12" s="42">
        <f>I12</f>
        <v>25</v>
      </c>
      <c r="N12" s="38">
        <v>0</v>
      </c>
      <c r="O12" s="43">
        <v>0</v>
      </c>
      <c r="P12" s="34">
        <f t="shared" si="0"/>
        <v>40309061725.850113</v>
      </c>
      <c r="Q12" s="35">
        <f>(ROUNDDOWN($D$3*($D$4+100)/100+$D$5,0)*4+ROUNDDOWN($D$6*($D$7+100)/100+$D$8,0))*0.01*ROUNDDOWN(($D$9+100)*($D$10+100)/100,0)*($D$11+135)/100*0.955*1.24*(1.25*1.2*1.25*1.23*1.1)*((134+ROUNDDOWN($K$4/5,0))/100*1.06)*1.2*$L12/100*N12*0.01*(1-(3.8*0.84*0.8*(100-$D$12)/100))</f>
        <v>0</v>
      </c>
      <c r="R12" s="35">
        <f>(ROUNDDOWN($D$3*($D$4+100)/100+$D$5,0)*4+ROUNDDOWN($D$6*($D$7+100)/100+$D$8,0))*0.01*ROUNDDOWN(($D$9+100)*($D$10+100)/100,0)*($D$11+135)/100*0.955*1.24*(1.25*1.2*1.25*1.23*1.1)*(1.06)*1.2*$L12/100*O12*0.01*(1-(3.8*0.84*0.8*(100-$D$12)/100))</f>
        <v>0</v>
      </c>
      <c r="S12" s="36">
        <f>(ROUNDDOWN($D$3*($D$4+100)/100+$D$5,0)*4+ROUNDDOWN($D$6*($D$7+100)/100+$D$8,0))*0.01*ROUNDDOWN(($D$9+100)*($D$10+100)/100,0)*($D$11+135)/100*0.955*1.24*(1.25*1.2*1.25*1.23*1.1)*(1.06)*1.2*$L12/100*(I12-M12-N12-O12)*0.01*(1-(3.8*0.8*(100-$D$12)/100))</f>
        <v>0</v>
      </c>
      <c r="T12" s="69">
        <f t="shared" si="1"/>
        <v>40309061725.850113</v>
      </c>
      <c r="U12" s="3">
        <f t="shared" si="2"/>
        <v>1074.5376313987006</v>
      </c>
      <c r="V12" s="3"/>
    </row>
    <row r="13" spans="2:31" ht="33" customHeight="1" thickBot="1" x14ac:dyDescent="0.35">
      <c r="B13" s="111" t="s">
        <v>44</v>
      </c>
      <c r="C13" s="112"/>
      <c r="D13" s="8">
        <f>590+101+14</f>
        <v>705</v>
      </c>
      <c r="E13" s="48"/>
      <c r="F13"/>
      <c r="G13" s="70" t="s">
        <v>18</v>
      </c>
      <c r="H13" s="32">
        <v>68041144385478</v>
      </c>
      <c r="I13" s="4">
        <v>554</v>
      </c>
      <c r="J13" s="19">
        <f t="shared" si="3"/>
        <v>5.4419923837799082E-2</v>
      </c>
      <c r="K13" s="113"/>
      <c r="L13" s="81">
        <f>2.2*(102+4*$K$11)*4</f>
        <v>1953.6000000000001</v>
      </c>
      <c r="M13" s="42">
        <f>ROUNDDOWN(I13/113*24,0)</f>
        <v>117</v>
      </c>
      <c r="N13" s="38">
        <f>ROUNDDOWN(I13/113*(65+3-24+ROUNDUP($K$4/2,0)),0)</f>
        <v>289</v>
      </c>
      <c r="O13" s="43">
        <f>ROUNDDOWN(I13/113*(94-(65+ROUNDUP($K$4/2,0))),0)</f>
        <v>68</v>
      </c>
      <c r="P13" s="34">
        <f t="shared" si="0"/>
        <v>17614932816.273071</v>
      </c>
      <c r="Q13" s="35">
        <f>(ROUNDDOWN($D$3*($D$4+100)/100+$D$5,0)*4+ROUNDDOWN($D$6*($D$7+100)/100+$D$8,0))*0.01*ROUNDDOWN(($D$9+100)*($D$10+100)/100,0)*($D$11+135)/100*0.955*1.24*(1.25*1.2*1.25*1.23*1.1)*((134+ROUNDDOWN($K$4/5,0))/100*1.06)*1.2*$L13/100*N13*0.01*(1-(3.8*0.84*0.8*(100-$D$12)/100))</f>
        <v>36363066063.303772</v>
      </c>
      <c r="R13" s="35">
        <f>(ROUNDDOWN($D$3*($D$4+100)/100+$D$5,0)*4+ROUNDDOWN($D$6*($D$7+100)/100+$D$8,0))*0.01*ROUNDDOWN(($D$9+100)*($D$10+100)/100,0)*($D$11+135)/100*0.955*1.24*(1.25*1.2*1.25*1.23*1.1)*(1.06)*1.2*$L13/100*O13*0.01*(1-(3.8*0.84*0.8*(100-$D$12)/100))</f>
        <v>6111439674.504837</v>
      </c>
      <c r="S13" s="36">
        <f>(ROUNDDOWN($D$3*($D$4+100)/100+$D$5,0)*4+ROUNDDOWN($D$6*($D$7+100)/100+$D$8,0))*0.01*ROUNDDOWN(($D$9+100)*($D$10+100)/100,0)*($D$11+135)/100*0.955*1.24*(1.25*1.2*1.25*1.23*1.1)*(1.06)*1.2*$L13/100*(I13-M13-N13-O13)*0.01*(1-(3.8*0.8*(100-$D$12)/100))</f>
        <v>7069717797.8513117</v>
      </c>
      <c r="T13" s="69">
        <f t="shared" si="1"/>
        <v>67159156351.932991</v>
      </c>
      <c r="U13" s="3">
        <f t="shared" si="2"/>
        <v>1013.1328039459451</v>
      </c>
      <c r="V13" s="3"/>
    </row>
    <row r="14" spans="2:31" ht="33" customHeight="1" x14ac:dyDescent="0.3">
      <c r="G14" s="70" t="s">
        <v>17</v>
      </c>
      <c r="H14" s="32">
        <v>139640259334653</v>
      </c>
      <c r="I14" s="4">
        <v>69</v>
      </c>
      <c r="J14" s="19">
        <f t="shared" si="3"/>
        <v>0.11168554477317442</v>
      </c>
      <c r="K14" s="85">
        <v>30</v>
      </c>
      <c r="L14" s="81">
        <f>2.2*(935+27*$K$14)*9</f>
        <v>34551.000000000007</v>
      </c>
      <c r="M14" s="42">
        <f>ROUNDDOWN(I14/113*24,0)</f>
        <v>14</v>
      </c>
      <c r="N14" s="38">
        <f>ROUNDDOWN(I14/113*(65+3-24+ROUNDUP($K$4/2,0)),0)</f>
        <v>36</v>
      </c>
      <c r="O14" s="43">
        <f>ROUNDDOWN(I14/113*(94-(65+ROUNDUP($K$4/2,0))),0)</f>
        <v>8</v>
      </c>
      <c r="P14" s="34">
        <f t="shared" si="0"/>
        <v>37277616831.38871</v>
      </c>
      <c r="Q14" s="35">
        <f>(ROUNDDOWN($D$3*($D$4+100)/100+$D$5,0)*4+ROUNDDOWN($D$6*($D$7+100)/100+$D$8,0))*0.01*ROUNDDOWN(($D$9+100)*($D$10+100)/100,0)*($D$11+135)/100*0.955*1.24*(1.25*1.2*1.25*1.23*1.1)*((134+ROUNDDOWN($K$4/5,0))/100*1.06)*1.2*$L14/100*N14*0.01*(1-(3.8*0.84*0.8*0.8*(100-$D$12)/100))</f>
        <v>81516997352.612289</v>
      </c>
      <c r="R14" s="35">
        <f>(ROUNDDOWN($D$3*($D$4+100)/100+$D$5,0)*4+ROUNDDOWN($D$6*($D$7+100)/100+$D$8,0))*0.01*ROUNDDOWN(($D$9+100)*($D$10+100)/100,0)*($D$11+135)/100*0.955*1.24*(1.25*1.2*1.25*1.23*1.1)*(1.06)*1.2*$L14/100*O14*0.01*(1-(3.8*0.84*0.8*0.8*(100-$D$12)/100))</f>
        <v>12939205928.986076</v>
      </c>
      <c r="S14" s="36">
        <f>(ROUNDDOWN($D$3*($D$4+100)/100+$D$5,0)*4+ROUNDDOWN($D$6*($D$7+100)/100+$D$8,0))*0.01*ROUNDDOWN(($D$9+100)*($D$10+100)/100,0)*($D$11+135)/100*0.955*1.24*(1.25*1.2*1.25*1.23*1.1)*(1.06)*1.2*$L14/100*(I14-M14-N14-O14)*0.01*(1-(3.8*0.8*0.8*(100-$D$12)/100))</f>
        <v>17557544512.630756</v>
      </c>
      <c r="T14" s="69">
        <f t="shared" si="1"/>
        <v>149291364625.61786</v>
      </c>
      <c r="U14" s="3">
        <f t="shared" si="2"/>
        <v>935.35389461294562</v>
      </c>
      <c r="V14" s="3"/>
    </row>
    <row r="15" spans="2:31" ht="33" customHeight="1" x14ac:dyDescent="0.3">
      <c r="B15" s="102" t="s">
        <v>46</v>
      </c>
      <c r="C15" s="102"/>
      <c r="D15" s="102"/>
      <c r="E15" s="102"/>
      <c r="G15" s="71" t="s">
        <v>19</v>
      </c>
      <c r="H15" s="33">
        <v>57282327493241</v>
      </c>
      <c r="I15" s="5">
        <v>63</v>
      </c>
      <c r="J15" s="19">
        <f t="shared" si="3"/>
        <v>4.5814924595820934E-2</v>
      </c>
      <c r="K15" s="113">
        <v>30</v>
      </c>
      <c r="L15" s="81">
        <f>((10+$K$15+5*ROUNDDOWN(LOG($K$15),0)+5*ROUNDDOWN(LOG($K$15,20),0)+10*ROUNDDOWN(LOG($K$15,30),0)+100)/100)*1370*5</f>
        <v>10960</v>
      </c>
      <c r="M15" s="42">
        <f>I15</f>
        <v>63</v>
      </c>
      <c r="N15" s="38">
        <v>0</v>
      </c>
      <c r="O15" s="43">
        <v>0</v>
      </c>
      <c r="P15" s="34">
        <f t="shared" si="0"/>
        <v>53212123010.161514</v>
      </c>
      <c r="Q15" s="35">
        <f t="shared" ref="Q15:Q22" si="4">(ROUNDDOWN($D$3*($D$4+100)/100+$D$5,0)*4+ROUNDDOWN($D$6*($D$7+100)/100+$D$8,0))*0.01*ROUNDDOWN(($D$9+100)*($D$10+100)/100,0)*($D$11+135)/100*0.955*1.24*(1.25*1.2*1.25*1.23*1.1)*((134+ROUNDDOWN($K$4/5,0))/100*1.06)*1.2*$L15/100*N15*0.01*(1-(3.8*0.84*(100-$D$12)/100))</f>
        <v>0</v>
      </c>
      <c r="R15" s="35">
        <f t="shared" ref="R15:R22" si="5">(ROUNDDOWN($D$3*($D$4+100)/100+$D$5,0)*4+ROUNDDOWN($D$6*($D$7+100)/100+$D$8,0))*0.01*ROUNDDOWN(($D$9+100)*($D$10+100)/100,0)*($D$11+135)/100*0.955*1.24*(1.25*1.2*1.25*1.23*1.1)*(1.06)*1.2*$L15/100*O15*0.01*(1-(3.8*0.84*(100-$D$12)/100))</f>
        <v>0</v>
      </c>
      <c r="S15" s="36">
        <f t="shared" ref="S15:S20" si="6">(ROUNDDOWN($D$3*($D$4+100)/100+$D$5,0)*4+ROUNDDOWN($D$6*($D$7+100)/100+$D$8,0))*0.01*ROUNDDOWN(($D$9+100)*($D$10+100)/100,0)*($D$11+135)/100*0.955*1.24*(1.25*1.2*1.25*1.23*1.1)*(1.06)*1.2*$L15/100*(I15-M15-N15-O15)*0.01*(1-(3.8*(100-$D$12)/100))</f>
        <v>0</v>
      </c>
      <c r="T15" s="69">
        <f t="shared" si="1"/>
        <v>53212123010.161514</v>
      </c>
      <c r="U15" s="3">
        <f t="shared" si="2"/>
        <v>1076.4901727807821</v>
      </c>
      <c r="V15" s="3"/>
    </row>
    <row r="16" spans="2:31" ht="33" customHeight="1" x14ac:dyDescent="0.3">
      <c r="B16" s="101" t="s">
        <v>93</v>
      </c>
      <c r="C16" s="101"/>
      <c r="D16" s="101"/>
      <c r="E16" s="101"/>
      <c r="G16" s="71" t="s">
        <v>22</v>
      </c>
      <c r="H16" s="33">
        <v>103134105991190</v>
      </c>
      <c r="I16" s="5">
        <v>72</v>
      </c>
      <c r="J16" s="19">
        <f t="shared" si="3"/>
        <v>8.2487592526705691E-2</v>
      </c>
      <c r="K16" s="113"/>
      <c r="L16" s="81">
        <f>((10+$K$15+5*ROUNDDOWN(LOG($K$15),0)+5*ROUNDDOWN(LOG($K$15,20),0)+10*ROUNDDOWN(LOG($K$15,30),0)+100)/100)*1210*9</f>
        <v>17424</v>
      </c>
      <c r="M16" s="42">
        <f>I16</f>
        <v>72</v>
      </c>
      <c r="N16" s="38">
        <v>0</v>
      </c>
      <c r="O16" s="43">
        <v>0</v>
      </c>
      <c r="P16" s="34">
        <f t="shared" si="0"/>
        <v>96680712338.796051</v>
      </c>
      <c r="Q16" s="35">
        <f t="shared" si="4"/>
        <v>0</v>
      </c>
      <c r="R16" s="35">
        <f t="shared" si="5"/>
        <v>0</v>
      </c>
      <c r="S16" s="36">
        <f t="shared" si="6"/>
        <v>0</v>
      </c>
      <c r="T16" s="69">
        <f t="shared" si="1"/>
        <v>96680712338.796051</v>
      </c>
      <c r="U16" s="3">
        <f t="shared" si="2"/>
        <v>1066.7495459671363</v>
      </c>
      <c r="V16" s="3"/>
      <c r="W16" s="1"/>
    </row>
    <row r="17" spans="2:31" ht="33" customHeight="1" x14ac:dyDescent="0.3">
      <c r="B17" s="101" t="s">
        <v>92</v>
      </c>
      <c r="C17" s="101"/>
      <c r="D17" s="101"/>
      <c r="E17" s="101"/>
      <c r="G17" s="71" t="s">
        <v>28</v>
      </c>
      <c r="H17" s="33">
        <v>57041013015569</v>
      </c>
      <c r="I17" s="18">
        <v>3</v>
      </c>
      <c r="J17" s="19">
        <f t="shared" si="3"/>
        <v>4.5621919089895442E-2</v>
      </c>
      <c r="K17" s="113"/>
      <c r="L17" s="81">
        <f>((10+$K$15+5*ROUNDDOWN(LOG($K$15),0)+5*ROUNDDOWN(LOG($K$15,20),0)+10*ROUNDDOWN(LOG($K$15,30),0)+100)/100)*1370*15*7</f>
        <v>230160</v>
      </c>
      <c r="M17" s="42">
        <f>I17</f>
        <v>3</v>
      </c>
      <c r="N17" s="38">
        <v>0</v>
      </c>
      <c r="O17" s="43">
        <v>0</v>
      </c>
      <c r="P17" s="34">
        <f t="shared" si="0"/>
        <v>53212123010.161514</v>
      </c>
      <c r="Q17" s="35">
        <f t="shared" si="4"/>
        <v>0</v>
      </c>
      <c r="R17" s="35">
        <f t="shared" si="5"/>
        <v>0</v>
      </c>
      <c r="S17" s="36">
        <f t="shared" si="6"/>
        <v>0</v>
      </c>
      <c r="T17" s="69">
        <f t="shared" si="1"/>
        <v>53212123010.161514</v>
      </c>
      <c r="U17" s="3">
        <f t="shared" si="2"/>
        <v>1071.9552197659227</v>
      </c>
      <c r="V17" s="3"/>
      <c r="W17" s="1"/>
    </row>
    <row r="18" spans="2:31" s="1" customFormat="1" ht="33" customHeight="1" thickBot="1" x14ac:dyDescent="0.35">
      <c r="B18" s="101" t="s">
        <v>65</v>
      </c>
      <c r="C18" s="101"/>
      <c r="D18" s="101"/>
      <c r="E18" s="101"/>
      <c r="G18" s="70" t="s">
        <v>27</v>
      </c>
      <c r="H18" s="32">
        <v>73017460324083</v>
      </c>
      <c r="I18" s="16">
        <v>1</v>
      </c>
      <c r="J18" s="19">
        <f t="shared" si="3"/>
        <v>5.8400026418635578E-2</v>
      </c>
      <c r="K18" s="85">
        <v>30</v>
      </c>
      <c r="L18" s="81">
        <f>(750+25*$K$18)*7*6+(690+22*$K$18)*6*30+(685+23*$K$18)*14*24</f>
        <v>768000</v>
      </c>
      <c r="M18" s="42">
        <f>I18</f>
        <v>1</v>
      </c>
      <c r="N18" s="38">
        <v>0</v>
      </c>
      <c r="O18" s="43">
        <v>0</v>
      </c>
      <c r="P18" s="34">
        <f t="shared" si="0"/>
        <v>59186233448.910965</v>
      </c>
      <c r="Q18" s="35">
        <f t="shared" si="4"/>
        <v>0</v>
      </c>
      <c r="R18" s="35">
        <f t="shared" si="5"/>
        <v>0</v>
      </c>
      <c r="S18" s="36">
        <f t="shared" si="6"/>
        <v>0</v>
      </c>
      <c r="T18" s="69">
        <f t="shared" si="1"/>
        <v>59186233448.910965</v>
      </c>
      <c r="U18" s="3">
        <f t="shared" si="2"/>
        <v>1233.6899320871808</v>
      </c>
      <c r="V18" s="3"/>
      <c r="X18" s="2"/>
      <c r="Y18" s="2"/>
      <c r="Z18" s="2"/>
      <c r="AA18" s="2"/>
      <c r="AB18" s="2"/>
      <c r="AC18" s="2"/>
      <c r="AD18" s="2"/>
      <c r="AE18" s="2"/>
    </row>
    <row r="19" spans="2:31" ht="33" customHeight="1" thickBot="1" x14ac:dyDescent="0.35">
      <c r="B19" s="101" t="s">
        <v>62</v>
      </c>
      <c r="C19" s="101"/>
      <c r="D19" s="101"/>
      <c r="E19" s="101"/>
      <c r="G19" s="71" t="s">
        <v>21</v>
      </c>
      <c r="H19" s="33">
        <v>47586721598359</v>
      </c>
      <c r="I19" s="5">
        <v>824</v>
      </c>
      <c r="J19" s="19">
        <f t="shared" si="3"/>
        <v>3.80602911438679E-2</v>
      </c>
      <c r="K19" s="86"/>
      <c r="L19" s="81">
        <v>990</v>
      </c>
      <c r="M19" s="42">
        <f>ROUNDDOWN(I19/113*24,0)</f>
        <v>175</v>
      </c>
      <c r="N19" s="38">
        <f>ROUNDDOWN(I19/113*(65+3-24+ROUNDUP($K$4/2,0)),0)</f>
        <v>430</v>
      </c>
      <c r="O19" s="43">
        <f>ROUNDDOWN(I19/113*(94-(65+ROUNDUP($K$4/2,0))),0)</f>
        <v>102</v>
      </c>
      <c r="P19" s="34">
        <f t="shared" si="0"/>
        <v>13351581959.666439</v>
      </c>
      <c r="Q19" s="35">
        <f t="shared" si="4"/>
        <v>26816018009.789505</v>
      </c>
      <c r="R19" s="35">
        <f t="shared" si="5"/>
        <v>4543577802.3231401</v>
      </c>
      <c r="S19" s="36">
        <f t="shared" si="6"/>
        <v>5100385557.551445</v>
      </c>
      <c r="T19" s="69">
        <f t="shared" si="1"/>
        <v>49811563329.330536</v>
      </c>
      <c r="U19" s="3">
        <f t="shared" si="2"/>
        <v>955.33483427809858</v>
      </c>
      <c r="V19" s="3"/>
      <c r="W19" s="176" t="s">
        <v>59</v>
      </c>
      <c r="X19" s="177"/>
      <c r="Y19" s="177"/>
      <c r="Z19" s="177"/>
      <c r="AA19" s="177"/>
      <c r="AB19" s="177"/>
      <c r="AC19" s="178"/>
    </row>
    <row r="20" spans="2:31" s="1" customFormat="1" ht="33" customHeight="1" x14ac:dyDescent="0.3">
      <c r="B20" s="101" t="s">
        <v>64</v>
      </c>
      <c r="C20" s="101"/>
      <c r="D20" s="101"/>
      <c r="E20" s="101"/>
      <c r="G20" s="70" t="s">
        <v>13</v>
      </c>
      <c r="H20" s="32">
        <v>21120230926743</v>
      </c>
      <c r="I20" s="4">
        <v>52</v>
      </c>
      <c r="J20" s="19">
        <f t="shared" si="3"/>
        <v>1.6892152077256809E-2</v>
      </c>
      <c r="K20" s="86"/>
      <c r="L20" s="81">
        <f>1000*6</f>
        <v>6000</v>
      </c>
      <c r="M20" s="42">
        <f>ROUNDDOWN(I20/98*24,0)</f>
        <v>12</v>
      </c>
      <c r="N20" s="38">
        <f>ROUNDDOWN(I20/98*(65+3-24+ROUNDUP($K$4/2,0)),0)</f>
        <v>31</v>
      </c>
      <c r="O20" s="43">
        <f>I20-M20-N20</f>
        <v>9</v>
      </c>
      <c r="P20" s="34">
        <f t="shared" si="0"/>
        <v>5548709385.8354025</v>
      </c>
      <c r="Q20" s="35">
        <f t="shared" si="4"/>
        <v>11716653393.988369</v>
      </c>
      <c r="R20" s="35">
        <f t="shared" si="5"/>
        <v>2429720749.9054222</v>
      </c>
      <c r="S20" s="36">
        <f t="shared" si="6"/>
        <v>0</v>
      </c>
      <c r="T20" s="69">
        <f t="shared" si="1"/>
        <v>19695083529.729195</v>
      </c>
      <c r="U20" s="3">
        <f t="shared" si="2"/>
        <v>1072.3605662734349</v>
      </c>
      <c r="V20" s="174" t="s">
        <v>82</v>
      </c>
      <c r="W20" s="192"/>
      <c r="X20" s="171" t="s">
        <v>60</v>
      </c>
      <c r="Y20" s="169"/>
      <c r="Z20" s="170"/>
      <c r="AA20" s="168" t="s">
        <v>61</v>
      </c>
      <c r="AB20" s="169"/>
      <c r="AC20" s="170"/>
      <c r="AD20" s="2"/>
      <c r="AE20" s="2"/>
    </row>
    <row r="21" spans="2:31" s="1" customFormat="1" ht="33" customHeight="1" x14ac:dyDescent="0.3">
      <c r="G21" s="71" t="s">
        <v>26</v>
      </c>
      <c r="H21" s="33">
        <v>7030649724507</v>
      </c>
      <c r="I21" s="5">
        <v>31</v>
      </c>
      <c r="J21" s="19">
        <f t="shared" si="3"/>
        <v>5.6231773582511024E-3</v>
      </c>
      <c r="K21" s="86"/>
      <c r="L21" s="81">
        <f>385*8</f>
        <v>3080</v>
      </c>
      <c r="M21" s="42">
        <v>10</v>
      </c>
      <c r="N21" s="38">
        <f>I21-M21-1</f>
        <v>20</v>
      </c>
      <c r="O21" s="43">
        <v>0</v>
      </c>
      <c r="P21" s="34">
        <f t="shared" si="0"/>
        <v>2373614570.6073666</v>
      </c>
      <c r="Q21" s="35">
        <f t="shared" si="4"/>
        <v>3880354027.2563634</v>
      </c>
      <c r="R21" s="35">
        <f t="shared" si="5"/>
        <v>0</v>
      </c>
      <c r="S21" s="36">
        <f>(ROUNDDOWN($D$3*($D$4+100)/100+$D$5,0)*4+ROUNDDOWN($D$6*($D$7+100)/100+$D$8,0))*0.01*ROUNDDOWN(($D$9+100)*($D$10+100)/100,0)*($D$11+135)/100*0.955*1.24*(1.25*1.2*1.25*1.23*1.1)*(1.06)*1.2*($L21/100*(I21-M21-N21-O21)+990/100*15)*0.01*(1-(3.8*(100-$D$12)/100))</f>
        <v>789518372.15658653</v>
      </c>
      <c r="T21" s="69">
        <f t="shared" si="1"/>
        <v>7043486970.0203161</v>
      </c>
      <c r="U21" s="3">
        <f t="shared" si="2"/>
        <v>998.17743035971296</v>
      </c>
      <c r="V21" s="175"/>
      <c r="W21" s="51" t="s">
        <v>79</v>
      </c>
      <c r="X21" s="54">
        <v>4</v>
      </c>
      <c r="Y21" s="54">
        <v>5</v>
      </c>
      <c r="Z21" s="55">
        <v>6</v>
      </c>
      <c r="AA21" s="64">
        <v>4</v>
      </c>
      <c r="AB21" s="54">
        <v>5</v>
      </c>
      <c r="AC21" s="55">
        <v>6</v>
      </c>
      <c r="AD21" s="2"/>
      <c r="AE21" s="2"/>
    </row>
    <row r="22" spans="2:31" s="1" customFormat="1" ht="33" customHeight="1" thickBot="1" x14ac:dyDescent="0.35">
      <c r="G22" s="71" t="s">
        <v>25</v>
      </c>
      <c r="H22" s="33">
        <v>6788837372575</v>
      </c>
      <c r="I22" s="5">
        <v>25</v>
      </c>
      <c r="J22" s="19">
        <f t="shared" si="3"/>
        <v>5.4297736479809516E-3</v>
      </c>
      <c r="K22" s="86"/>
      <c r="L22" s="81">
        <f>605*6</f>
        <v>3630</v>
      </c>
      <c r="M22" s="42">
        <v>11</v>
      </c>
      <c r="N22" s="38">
        <f>I22-M22-1</f>
        <v>13</v>
      </c>
      <c r="O22" s="43">
        <v>0</v>
      </c>
      <c r="P22" s="34">
        <f t="shared" si="0"/>
        <v>3077221746.8945508</v>
      </c>
      <c r="Q22" s="35">
        <f t="shared" si="4"/>
        <v>2972628353.0231776</v>
      </c>
      <c r="R22" s="35">
        <f t="shared" si="5"/>
        <v>0</v>
      </c>
      <c r="S22" s="36">
        <f>(ROUNDDOWN($D$3*($D$4+100)/100+$D$5,0)*4+ROUNDDOWN($D$6*($D$7+100)/100+$D$8,0))*0.01*ROUNDDOWN(($D$9+100)*($D$10+100)/100,0)*($D$11+135)/100*0.955*1.24*(1.25*1.2*1.25*1.23*1.1)*(1.06)*1.2*($L22/100*(I22-M22-N22-O22)+1650/100*12)*0.01*(1-(3.8*(100-$D$12)/100))</f>
        <v>1031701921.8978705</v>
      </c>
      <c r="T22" s="69">
        <f t="shared" si="1"/>
        <v>7081552021.8155994</v>
      </c>
      <c r="U22" s="3">
        <f t="shared" si="2"/>
        <v>958.66518408127831</v>
      </c>
      <c r="V22" s="175"/>
      <c r="W22" s="52" t="s">
        <v>80</v>
      </c>
      <c r="X22" s="56">
        <f>(((($T$10+$T$17+$T$18)*140+$H$10+$H$17+$H$18)/($D$10+100)*($D$10+10+100)+(((SUM($T$5:$T$9)+SUM($T$11:$T$16)+SUM($T$19:$T$22))/12.1*8*140)+$H$23-$H$10-$H$17-$H$18)/($D$10+100)*($D$10+10/12.1*8+100))/$H$23)-1</f>
        <v>0.12931821722035974</v>
      </c>
      <c r="Y22" s="56">
        <f>(((($T$10+$T$17+$T$18)*160+$H$10+$H$17+$H$18)/($D$10+100)*($D$10+12+100)+(((SUM($T$5:$T$22)-$T$10-$T$17-$T$18)/12.1*8*160)+$H$23-$H$10-$H$17-$H$18)/($D$10+100)*($D$10+12/12.1*8+100))/$H$23)-1</f>
        <v>0.15011410503290734</v>
      </c>
      <c r="Z22" s="57">
        <f>(((($T$10+$T$17+$T$18)*195+$H$10+$H$17+$H$18)/($D$10+100)*($D$10+14+100)+(((SUM($T$5:$T$9)+SUM($T$11:$T$16)+SUM($T$19:$T$22))/12.1*8*195)+$H$23-$H$10-$H$17-$H$18)/($D$10+100)*($D$10+14/12.1*8+100))/$H$23)-1</f>
        <v>0.18193728277783072</v>
      </c>
      <c r="AA22" s="56">
        <f>($S$46/($D$10+100)*($D$10+80+100)-$S$46)/$H$23</f>
        <v>0.11436574327229862</v>
      </c>
      <c r="AB22" s="56">
        <f>($Q$46/($D$10+100)*($D$10+80+100)-$Q$46)/$H$23</f>
        <v>0.13675912757993922</v>
      </c>
      <c r="AC22" s="57">
        <f>($Q$46/($D$10+100)*($D$10+95+100)-$Q$46)/$H$23</f>
        <v>0.16240146400117789</v>
      </c>
      <c r="AD22" s="2"/>
      <c r="AE22" s="2"/>
    </row>
    <row r="23" spans="2:31" s="1" customFormat="1" ht="33" customHeight="1" thickBot="1" x14ac:dyDescent="0.35">
      <c r="G23" s="72" t="s">
        <v>37</v>
      </c>
      <c r="H23" s="73">
        <f>SUM($H$5:$H$22)</f>
        <v>1250298412549741</v>
      </c>
      <c r="I23" s="74"/>
      <c r="J23" s="75">
        <f t="shared" si="3"/>
        <v>1</v>
      </c>
      <c r="K23" s="87"/>
      <c r="L23" s="82"/>
      <c r="M23" s="44"/>
      <c r="N23" s="45"/>
      <c r="O23" s="46"/>
      <c r="P23" s="76"/>
      <c r="Q23" s="77"/>
      <c r="R23" s="77"/>
      <c r="S23" s="78"/>
      <c r="T23" s="79"/>
      <c r="U23" s="182"/>
      <c r="V23" s="175"/>
      <c r="W23" s="65" t="s">
        <v>95</v>
      </c>
      <c r="X23" s="56">
        <f>(((($P$10+$T$17+$T$18)*140+$H$16/$L$16*$L$10/$I$16*3+$H$17+$H$18)/($D$10+100)*($D$10+10+100)+(((SUM($T$5:$T$9)+SUM($T$11:$T$16)+SUM($T$19:$T$22))/12.1*8*140)+$H$23-$H$10-$H$17-$H$18)/($D$10+100)*($D$10+10/12.1*8+100))/$H$23)-1</f>
        <v>0.10870141119610133</v>
      </c>
      <c r="Y23" s="56">
        <f>(((($P$10+$T$17+$T$18)*160+$H$16/$L$16*$L$10/$I$16*3+$H$17+$H$18)/($D$10+100)*($D$10+12+100)+(((SUM($T$5:$T$9)+SUM($T$11:$T$16)+SUM($T$19:$T$22))/12.1*8*160)+$H$23-$H$10-$H$17-$H$18)/($D$10+100)*($D$10+12/12.1*8+100))/$H$23)-1</f>
        <v>0.12897974280335434</v>
      </c>
      <c r="Z23" s="57">
        <f>(((($P$10+$T$17+$T$18)*195+$H$16/$L$16*$L$10/$I$16*3+$H$17+$H$18)/($D$10+100)*($D$10+14+100)+(((SUM($T$5:$T$9)+SUM($T$11:$T$16)+SUM($T$19:$T$22))/12.1*8*195)+$H$23-$H$10-$H$17-$H$18)/($D$10+100)*($D$10+14/12.1*8+100))/$H$23)-1</f>
        <v>0.16001131831906834</v>
      </c>
      <c r="AA23" s="2"/>
      <c r="AB23" s="2"/>
      <c r="AC23" s="2"/>
      <c r="AD23" s="2"/>
      <c r="AE23" s="2"/>
    </row>
    <row r="24" spans="2:31" s="1" customFormat="1" ht="33" customHeight="1" x14ac:dyDescent="0.3">
      <c r="G24" s="2"/>
      <c r="L24" s="2" t="s">
        <v>71</v>
      </c>
      <c r="AD24" s="2"/>
      <c r="AE24" s="2"/>
    </row>
    <row r="25" spans="2:31" s="1" customFormat="1" ht="33" customHeight="1" thickBot="1" x14ac:dyDescent="0.35">
      <c r="B25" s="53" t="s">
        <v>70</v>
      </c>
      <c r="P25" s="102" t="s">
        <v>85</v>
      </c>
      <c r="Q25" s="102"/>
      <c r="R25" s="102"/>
      <c r="S25" s="102"/>
      <c r="T25" s="102"/>
      <c r="X25" s="2"/>
      <c r="Y25" s="2"/>
      <c r="Z25" s="2"/>
      <c r="AA25" s="2"/>
      <c r="AB25" s="2"/>
      <c r="AC25" s="2"/>
      <c r="AD25" s="2"/>
      <c r="AE25" s="2"/>
    </row>
    <row r="26" spans="2:31" s="1" customFormat="1" ht="33" customHeight="1" thickBot="1" x14ac:dyDescent="0.35">
      <c r="B26" s="2" t="s">
        <v>102</v>
      </c>
      <c r="C26" s="2"/>
      <c r="D26" s="2"/>
      <c r="E26" s="2"/>
      <c r="F26" s="2"/>
      <c r="G26" s="2"/>
      <c r="H26" s="2"/>
      <c r="I26" s="2"/>
      <c r="J26" s="2"/>
      <c r="P26" s="88"/>
      <c r="Q26" s="179" t="s">
        <v>97</v>
      </c>
      <c r="R26" s="180"/>
      <c r="S26" s="181" t="s">
        <v>98</v>
      </c>
      <c r="T26" s="180"/>
      <c r="X26" s="2"/>
      <c r="Y26" s="2"/>
      <c r="Z26" s="2"/>
      <c r="AA26" s="2"/>
      <c r="AB26" s="2"/>
      <c r="AC26" s="2"/>
      <c r="AD26" s="2"/>
      <c r="AE26" s="2"/>
    </row>
    <row r="27" spans="2:31" ht="33" customHeight="1" x14ac:dyDescent="0.3">
      <c r="B27" s="2" t="s">
        <v>72</v>
      </c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  <c r="N27" s="1"/>
      <c r="O27" s="1"/>
      <c r="P27" s="66" t="s">
        <v>86</v>
      </c>
      <c r="Q27" s="63" t="s">
        <v>87</v>
      </c>
      <c r="R27" s="50" t="s">
        <v>88</v>
      </c>
      <c r="S27" s="92" t="s">
        <v>87</v>
      </c>
      <c r="T27" s="50" t="s">
        <v>88</v>
      </c>
      <c r="U27" s="1"/>
      <c r="V27" s="1"/>
      <c r="W27" s="1"/>
    </row>
    <row r="28" spans="2:31" ht="33" customHeight="1" x14ac:dyDescent="0.3">
      <c r="B28" s="2" t="s">
        <v>73</v>
      </c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  <c r="N28" s="1"/>
      <c r="O28" s="1"/>
      <c r="P28" s="89" t="s">
        <v>24</v>
      </c>
      <c r="Q28" s="97">
        <v>0</v>
      </c>
      <c r="R28" s="61">
        <v>0</v>
      </c>
      <c r="S28" s="93">
        <v>0</v>
      </c>
      <c r="T28" s="61">
        <v>0</v>
      </c>
      <c r="U28" s="1"/>
      <c r="V28" s="1"/>
      <c r="W28" s="1"/>
    </row>
    <row r="29" spans="2:31" ht="33" customHeight="1" x14ac:dyDescent="0.3">
      <c r="B29" s="2" t="s">
        <v>90</v>
      </c>
      <c r="C29" s="2"/>
      <c r="D29" s="2"/>
      <c r="E29" s="2"/>
      <c r="F29" s="2"/>
      <c r="G29" s="2"/>
      <c r="H29" s="2"/>
      <c r="I29" s="2"/>
      <c r="J29" s="2"/>
      <c r="P29" s="90" t="s">
        <v>31</v>
      </c>
      <c r="Q29" s="98">
        <f>($H$16/$L$16*L6)/$I$16*R29</f>
        <v>10482696379155.045</v>
      </c>
      <c r="R29" s="62">
        <v>30</v>
      </c>
      <c r="S29" s="94">
        <f t="shared" ref="S29:S34" si="7">($H$16/$L$16*L6)/$I$16*T29</f>
        <v>7337887465408.5322</v>
      </c>
      <c r="T29" s="61">
        <v>21</v>
      </c>
    </row>
    <row r="30" spans="2:31" ht="33" customHeight="1" x14ac:dyDescent="0.3">
      <c r="B30" s="2" t="s">
        <v>74</v>
      </c>
      <c r="C30" s="2"/>
      <c r="D30" s="2"/>
      <c r="E30" s="2"/>
      <c r="F30" s="2"/>
      <c r="G30" s="2"/>
      <c r="H30" s="2"/>
      <c r="I30" s="2"/>
      <c r="J30" s="2"/>
      <c r="P30" s="90" t="s">
        <v>32</v>
      </c>
      <c r="Q30" s="98">
        <f t="shared" ref="Q30:Q32" si="8">($H$16/$L$16*L7)/$I$16*R30</f>
        <v>18447809362902.254</v>
      </c>
      <c r="R30" s="62">
        <v>6</v>
      </c>
      <c r="S30" s="94">
        <f t="shared" si="7"/>
        <v>18447809362902.254</v>
      </c>
      <c r="T30" s="62">
        <v>6</v>
      </c>
    </row>
    <row r="31" spans="2:31" ht="33" customHeight="1" x14ac:dyDescent="0.3">
      <c r="B31" s="2" t="s">
        <v>69</v>
      </c>
      <c r="C31" s="2"/>
      <c r="D31" s="2"/>
      <c r="E31" s="2"/>
      <c r="F31" s="2"/>
      <c r="G31" s="2"/>
      <c r="H31" s="2"/>
      <c r="I31" s="2"/>
      <c r="J31" s="2"/>
      <c r="P31" s="90" t="s">
        <v>33</v>
      </c>
      <c r="Q31" s="98">
        <f t="shared" si="8"/>
        <v>11177202143405.48</v>
      </c>
      <c r="R31" s="62">
        <v>3</v>
      </c>
      <c r="S31" s="94">
        <f t="shared" si="7"/>
        <v>11177202143405.48</v>
      </c>
      <c r="T31" s="62">
        <v>3</v>
      </c>
    </row>
    <row r="32" spans="2:31" ht="33" customHeight="1" x14ac:dyDescent="0.3">
      <c r="B32" s="2" t="s">
        <v>84</v>
      </c>
      <c r="C32" s="2"/>
      <c r="D32" s="2"/>
      <c r="E32" s="2"/>
      <c r="F32" s="2"/>
      <c r="G32" s="2"/>
      <c r="H32" s="2"/>
      <c r="I32" s="2"/>
      <c r="J32" s="2"/>
      <c r="P32" s="90" t="s">
        <v>10</v>
      </c>
      <c r="Q32" s="98">
        <f t="shared" si="8"/>
        <v>31568443829565.348</v>
      </c>
      <c r="R32" s="62">
        <v>8</v>
      </c>
      <c r="S32" s="94">
        <f t="shared" si="7"/>
        <v>23676332872174.012</v>
      </c>
      <c r="T32" s="61">
        <v>6</v>
      </c>
    </row>
    <row r="33" spans="2:27" ht="33" customHeight="1" x14ac:dyDescent="0.3">
      <c r="B33" s="2" t="s">
        <v>91</v>
      </c>
      <c r="C33" s="49"/>
      <c r="D33" s="49"/>
      <c r="E33" s="49"/>
      <c r="F33" s="49"/>
      <c r="G33" s="49"/>
      <c r="H33" s="49"/>
      <c r="P33" s="89" t="s">
        <v>20</v>
      </c>
      <c r="Q33" s="98">
        <f>($H$16/$L$16*L10)/$I$16*R33</f>
        <v>27622388350869.68</v>
      </c>
      <c r="R33" s="61">
        <v>3</v>
      </c>
      <c r="S33" s="94">
        <f t="shared" si="7"/>
        <v>27622388350869.68</v>
      </c>
      <c r="T33" s="61">
        <v>3</v>
      </c>
    </row>
    <row r="34" spans="2:27" ht="33" customHeight="1" x14ac:dyDescent="0.3">
      <c r="P34" s="90" t="s">
        <v>14</v>
      </c>
      <c r="Q34" s="98">
        <f>($H$16/$L$16*L11)/$I$16*R34</f>
        <v>29625011506307.734</v>
      </c>
      <c r="R34" s="62">
        <v>24</v>
      </c>
      <c r="S34" s="94">
        <f t="shared" si="7"/>
        <v>22218758629730.801</v>
      </c>
      <c r="T34" s="61">
        <v>18</v>
      </c>
    </row>
    <row r="35" spans="2:27" ht="33" customHeight="1" x14ac:dyDescent="0.3">
      <c r="P35" s="90" t="s">
        <v>23</v>
      </c>
      <c r="Q35" s="98">
        <f>$H$12/$I$12*$R$35</f>
        <v>41581059562367.039</v>
      </c>
      <c r="R35" s="62">
        <v>24</v>
      </c>
      <c r="S35" s="94">
        <f>$H$12/$I$12*T35</f>
        <v>31185794671775.281</v>
      </c>
      <c r="T35" s="61">
        <v>18</v>
      </c>
    </row>
    <row r="36" spans="2:27" ht="33" customHeight="1" x14ac:dyDescent="0.3">
      <c r="P36" s="90" t="s">
        <v>18</v>
      </c>
      <c r="Q36" s="98">
        <f>($H$16/$L$16*L13)/$I$16*R36</f>
        <v>15578632424342.629</v>
      </c>
      <c r="R36" s="62">
        <f>ROUNDDOWN($M$13/24*20,0)</f>
        <v>97</v>
      </c>
      <c r="S36" s="94">
        <f>($H$16/$L$16*L13)/$I$16*T36</f>
        <v>11724125432752.699</v>
      </c>
      <c r="T36" s="61">
        <v>73</v>
      </c>
    </row>
    <row r="37" spans="2:27" ht="33" customHeight="1" x14ac:dyDescent="0.3">
      <c r="P37" s="90" t="s">
        <v>17</v>
      </c>
      <c r="Q37" s="98">
        <f>($H$16/$L$16*L14)/$I$16*R37</f>
        <v>34085040711103.516</v>
      </c>
      <c r="R37" s="62">
        <f>ROUNDDOWN($I$14/113*20,0)</f>
        <v>12</v>
      </c>
      <c r="S37" s="94">
        <f>($H$16/$L$16*L14)/$I$16*T37</f>
        <v>25563780533327.637</v>
      </c>
      <c r="T37" s="61">
        <v>9</v>
      </c>
    </row>
    <row r="38" spans="2:27" ht="33" customHeight="1" x14ac:dyDescent="0.3">
      <c r="P38" s="89" t="s">
        <v>19</v>
      </c>
      <c r="Q38" s="99">
        <f>H15/I15*R38</f>
        <v>51826867731979.953</v>
      </c>
      <c r="R38" s="61">
        <v>57</v>
      </c>
      <c r="S38" s="95">
        <f>H15/I15*T38</f>
        <v>38188218328827.336</v>
      </c>
      <c r="T38" s="61">
        <v>42</v>
      </c>
      <c r="AA38" s="30"/>
    </row>
    <row r="39" spans="2:27" ht="33" customHeight="1" x14ac:dyDescent="0.3">
      <c r="P39" s="89" t="s">
        <v>22</v>
      </c>
      <c r="Q39" s="99">
        <f>H16/I16*R39</f>
        <v>95972015297357.359</v>
      </c>
      <c r="R39" s="61">
        <v>67</v>
      </c>
      <c r="S39" s="95">
        <f>H16/I16*T39</f>
        <v>71620906938326.391</v>
      </c>
      <c r="T39" s="61">
        <v>50</v>
      </c>
    </row>
    <row r="40" spans="2:27" ht="33" customHeight="1" x14ac:dyDescent="0.3">
      <c r="P40" s="89" t="s">
        <v>28</v>
      </c>
      <c r="Q40" s="99">
        <f>H17/I17*R40</f>
        <v>57041013015569</v>
      </c>
      <c r="R40" s="61">
        <v>3</v>
      </c>
      <c r="S40" s="95">
        <f>H17/I17*T40</f>
        <v>57041013015569</v>
      </c>
      <c r="T40" s="61">
        <v>3</v>
      </c>
    </row>
    <row r="41" spans="2:27" ht="33" customHeight="1" x14ac:dyDescent="0.3">
      <c r="P41" s="90" t="s">
        <v>27</v>
      </c>
      <c r="Q41" s="99">
        <f>H18/I18*R41</f>
        <v>73017460324083</v>
      </c>
      <c r="R41" s="62">
        <v>1</v>
      </c>
      <c r="S41" s="95">
        <f>H18/I18*T41</f>
        <v>73017460324083</v>
      </c>
      <c r="T41" s="61">
        <v>1</v>
      </c>
    </row>
    <row r="42" spans="2:27" ht="33" customHeight="1" x14ac:dyDescent="0.3">
      <c r="P42" s="89" t="s">
        <v>21</v>
      </c>
      <c r="Q42" s="98">
        <f>($H$16/$L$16*L19)/$I$16*R42</f>
        <v>13835857022176.688</v>
      </c>
      <c r="R42" s="61">
        <v>170</v>
      </c>
      <c r="S42" s="94">
        <f>($H$16/$L$16*L19)/$I$16*T42</f>
        <v>10987298223493.252</v>
      </c>
      <c r="T42" s="61">
        <v>135</v>
      </c>
    </row>
    <row r="43" spans="2:27" ht="33" customHeight="1" x14ac:dyDescent="0.3">
      <c r="P43" s="90" t="s">
        <v>13</v>
      </c>
      <c r="Q43" s="98">
        <f>($H$16/$L$16*L20)/$I$16*R43</f>
        <v>4439312413532.627</v>
      </c>
      <c r="R43" s="62">
        <v>9</v>
      </c>
      <c r="S43" s="94">
        <f>($H$16/$L$16*L20)/$I$16*T43</f>
        <v>2959541609021.7515</v>
      </c>
      <c r="T43" s="61">
        <v>6</v>
      </c>
    </row>
    <row r="44" spans="2:27" ht="33" customHeight="1" x14ac:dyDescent="0.3">
      <c r="P44" s="89" t="s">
        <v>26</v>
      </c>
      <c r="Q44" s="98">
        <f>($H$16/$L$16*L21)/$I$16*R44</f>
        <v>2532052265496.3872</v>
      </c>
      <c r="R44" s="61">
        <v>10</v>
      </c>
      <c r="S44" s="94">
        <f>($H$16/$L$16*L21)/$I$16*T44</f>
        <v>1266026132748.1936</v>
      </c>
      <c r="T44" s="61">
        <v>5</v>
      </c>
    </row>
    <row r="45" spans="2:27" ht="33" customHeight="1" x14ac:dyDescent="0.3">
      <c r="P45" s="89" t="s">
        <v>25</v>
      </c>
      <c r="Q45" s="98">
        <f>($H$16/$L$16*L22)/$I$16*R45</f>
        <v>2685784010187.2393</v>
      </c>
      <c r="R45" s="61">
        <v>9</v>
      </c>
      <c r="S45" s="94">
        <f>($H$16/$L$16*L22)/$I$16*T45</f>
        <v>2088943119034.5195</v>
      </c>
      <c r="T45" s="61">
        <v>7</v>
      </c>
    </row>
    <row r="46" spans="2:27" ht="33" customHeight="1" thickBot="1" x14ac:dyDescent="0.35">
      <c r="P46" s="91" t="s">
        <v>37</v>
      </c>
      <c r="Q46" s="100">
        <f>SUM(Q28:Q45)</f>
        <v>521518646350401</v>
      </c>
      <c r="R46" s="46"/>
      <c r="S46" s="96">
        <f>SUM(S28:S45)</f>
        <v>436123487153449.81</v>
      </c>
      <c r="T46" s="46"/>
    </row>
    <row r="47" spans="2:27" ht="33" customHeight="1" x14ac:dyDescent="0.3"/>
    <row r="48" spans="2:27" ht="33" customHeight="1" x14ac:dyDescent="0.3">
      <c r="N48" s="2" t="s">
        <v>81</v>
      </c>
      <c r="O48" s="2"/>
      <c r="P48" s="2"/>
      <c r="Q48" s="2"/>
      <c r="R48" s="2"/>
      <c r="S48" s="2"/>
      <c r="T48" s="2"/>
      <c r="U48" s="2"/>
      <c r="V48" s="2"/>
    </row>
    <row r="49" spans="14:22" ht="33" customHeight="1" x14ac:dyDescent="0.3">
      <c r="N49" s="2" t="s">
        <v>99</v>
      </c>
      <c r="O49" s="2"/>
      <c r="P49" s="2"/>
      <c r="Q49" s="2" t="s">
        <v>66</v>
      </c>
      <c r="R49" s="2"/>
      <c r="S49" s="2" t="s">
        <v>68</v>
      </c>
      <c r="T49" s="2"/>
    </row>
    <row r="50" spans="14:22" ht="33" customHeight="1" x14ac:dyDescent="0.3">
      <c r="N50" s="2" t="s">
        <v>63</v>
      </c>
      <c r="O50" s="2"/>
      <c r="P50" s="2"/>
      <c r="Q50" s="2" t="s">
        <v>67</v>
      </c>
      <c r="R50" s="2"/>
      <c r="S50" s="2" t="s">
        <v>94</v>
      </c>
      <c r="T50" s="2"/>
    </row>
    <row r="51" spans="14:22" ht="33" customHeight="1" x14ac:dyDescent="0.3">
      <c r="N51" s="2" t="s">
        <v>83</v>
      </c>
      <c r="O51" s="2"/>
      <c r="P51" s="2"/>
      <c r="Q51" s="2" t="s">
        <v>78</v>
      </c>
      <c r="R51" s="2"/>
      <c r="S51" s="2" t="s">
        <v>77</v>
      </c>
      <c r="T51" s="2"/>
      <c r="U51" s="2"/>
      <c r="V51" s="2"/>
    </row>
    <row r="52" spans="14:22" ht="33" customHeight="1" x14ac:dyDescent="0.3">
      <c r="N52" s="2" t="s">
        <v>89</v>
      </c>
      <c r="O52" s="2"/>
      <c r="P52" s="2"/>
      <c r="Q52" s="2"/>
      <c r="R52" s="2"/>
      <c r="S52" s="2" t="s">
        <v>75</v>
      </c>
      <c r="T52" s="2"/>
      <c r="U52" s="2"/>
      <c r="V52" s="2"/>
    </row>
    <row r="53" spans="14:22" ht="33" customHeight="1" x14ac:dyDescent="0.3">
      <c r="S53" s="2" t="s">
        <v>76</v>
      </c>
    </row>
    <row r="54" spans="14:22" ht="33" customHeight="1" x14ac:dyDescent="0.3"/>
    <row r="55" spans="14:22" ht="33" customHeight="1" x14ac:dyDescent="0.3"/>
    <row r="56" spans="14:22" ht="33" customHeight="1" x14ac:dyDescent="0.3"/>
    <row r="57" spans="14:22" ht="33" customHeight="1" x14ac:dyDescent="0.3"/>
    <row r="58" spans="14:22" ht="33" customHeight="1" x14ac:dyDescent="0.3"/>
    <row r="59" spans="14:22" ht="33" customHeight="1" x14ac:dyDescent="0.3"/>
    <row r="60" spans="14:22" ht="33" customHeight="1" x14ac:dyDescent="0.3"/>
    <row r="61" spans="14:22" ht="33" customHeight="1" x14ac:dyDescent="0.3"/>
    <row r="62" spans="14:22" ht="33" customHeight="1" x14ac:dyDescent="0.3"/>
    <row r="63" spans="14:22" ht="33" customHeight="1" x14ac:dyDescent="0.3"/>
    <row r="64" spans="14:22" ht="33" customHeight="1" x14ac:dyDescent="0.3"/>
    <row r="65" ht="33" customHeight="1" x14ac:dyDescent="0.3"/>
    <row r="66" ht="33" customHeight="1" x14ac:dyDescent="0.3"/>
    <row r="67" ht="33" customHeight="1" x14ac:dyDescent="0.3"/>
    <row r="68" ht="33" customHeight="1" x14ac:dyDescent="0.3"/>
    <row r="69" ht="33" customHeight="1" x14ac:dyDescent="0.3"/>
    <row r="70" ht="33" customHeight="1" x14ac:dyDescent="0.3"/>
    <row r="71" ht="33" customHeight="1" x14ac:dyDescent="0.3"/>
    <row r="72" ht="33" customHeight="1" x14ac:dyDescent="0.3"/>
    <row r="73" ht="33" customHeight="1" x14ac:dyDescent="0.3"/>
    <row r="74" ht="33" customHeight="1" x14ac:dyDescent="0.3"/>
    <row r="75" ht="33" customHeight="1" x14ac:dyDescent="0.3"/>
    <row r="76" ht="33" customHeight="1" x14ac:dyDescent="0.3"/>
    <row r="77" ht="33" customHeight="1" x14ac:dyDescent="0.3"/>
    <row r="78" ht="33" customHeight="1" x14ac:dyDescent="0.3"/>
    <row r="79" ht="33" customHeight="1" x14ac:dyDescent="0.3"/>
    <row r="80" ht="33" customHeight="1" x14ac:dyDescent="0.3"/>
    <row r="81" ht="33" customHeight="1" x14ac:dyDescent="0.3"/>
    <row r="82" ht="33" customHeight="1" x14ac:dyDescent="0.3"/>
    <row r="83" ht="33" customHeight="1" x14ac:dyDescent="0.3"/>
    <row r="84" ht="33" customHeight="1" x14ac:dyDescent="0.3"/>
    <row r="85" ht="33" customHeight="1" x14ac:dyDescent="0.3"/>
    <row r="86" ht="33" customHeight="1" x14ac:dyDescent="0.3"/>
    <row r="87" ht="33" customHeight="1" x14ac:dyDescent="0.3"/>
    <row r="88" ht="33" customHeight="1" x14ac:dyDescent="0.3"/>
    <row r="89" ht="33" customHeight="1" x14ac:dyDescent="0.3"/>
    <row r="90" ht="33" customHeight="1" x14ac:dyDescent="0.3"/>
    <row r="91" ht="33" customHeight="1" x14ac:dyDescent="0.3"/>
    <row r="92" ht="33" customHeight="1" x14ac:dyDescent="0.3"/>
    <row r="93" ht="33" customHeight="1" x14ac:dyDescent="0.3"/>
    <row r="94" ht="33" customHeight="1" x14ac:dyDescent="0.3"/>
    <row r="95" ht="33" customHeight="1" x14ac:dyDescent="0.3"/>
    <row r="96" ht="33" customHeight="1" x14ac:dyDescent="0.3"/>
    <row r="97" ht="33" customHeight="1" x14ac:dyDescent="0.3"/>
    <row r="98" ht="33" customHeight="1" x14ac:dyDescent="0.3"/>
    <row r="99" ht="33" customHeight="1" x14ac:dyDescent="0.3"/>
    <row r="100" ht="33" customHeight="1" x14ac:dyDescent="0.3"/>
    <row r="101" ht="33" customHeight="1" x14ac:dyDescent="0.3"/>
    <row r="102" ht="33" customHeight="1" x14ac:dyDescent="0.3"/>
    <row r="103" ht="33" customHeight="1" x14ac:dyDescent="0.3"/>
    <row r="104" ht="33" customHeight="1" x14ac:dyDescent="0.3"/>
    <row r="105" ht="33" customHeight="1" x14ac:dyDescent="0.3"/>
    <row r="106" ht="33" customHeight="1" x14ac:dyDescent="0.3"/>
    <row r="107" ht="33" customHeight="1" x14ac:dyDescent="0.3"/>
    <row r="108" ht="33" customHeight="1" x14ac:dyDescent="0.3"/>
    <row r="109" ht="33" customHeight="1" x14ac:dyDescent="0.3"/>
    <row r="110" ht="33" customHeight="1" x14ac:dyDescent="0.3"/>
    <row r="111" ht="33" customHeight="1" x14ac:dyDescent="0.3"/>
    <row r="112" ht="33" customHeight="1" x14ac:dyDescent="0.3"/>
  </sheetData>
  <mergeCells count="48">
    <mergeCell ref="Q26:R26"/>
    <mergeCell ref="S26:T26"/>
    <mergeCell ref="P25:T25"/>
    <mergeCell ref="V20:V23"/>
    <mergeCell ref="AA20:AC20"/>
    <mergeCell ref="X20:Z20"/>
    <mergeCell ref="I7:I8"/>
    <mergeCell ref="J7:J8"/>
    <mergeCell ref="K6:K8"/>
    <mergeCell ref="K11:K13"/>
    <mergeCell ref="W19:AC19"/>
    <mergeCell ref="P1:T1"/>
    <mergeCell ref="S2:S4"/>
    <mergeCell ref="T2:T4"/>
    <mergeCell ref="B1:D1"/>
    <mergeCell ref="B3:B5"/>
    <mergeCell ref="M1:O1"/>
    <mergeCell ref="K1:K3"/>
    <mergeCell ref="J1:J3"/>
    <mergeCell ref="I1:I3"/>
    <mergeCell ref="L1:L4"/>
    <mergeCell ref="N2:O2"/>
    <mergeCell ref="H7:H8"/>
    <mergeCell ref="M3:N3"/>
    <mergeCell ref="M4:O4"/>
    <mergeCell ref="H1:H3"/>
    <mergeCell ref="B2:D2"/>
    <mergeCell ref="B15:E15"/>
    <mergeCell ref="X1:Z1"/>
    <mergeCell ref="AA1:AC1"/>
    <mergeCell ref="B11:C11"/>
    <mergeCell ref="B12:C12"/>
    <mergeCell ref="B13:C13"/>
    <mergeCell ref="K15:K17"/>
    <mergeCell ref="G1:G3"/>
    <mergeCell ref="Y3:Z3"/>
    <mergeCell ref="AA4:AC4"/>
    <mergeCell ref="Y4:Z4"/>
    <mergeCell ref="B6:B8"/>
    <mergeCell ref="B9:B10"/>
    <mergeCell ref="P3:Q3"/>
    <mergeCell ref="Q2:R2"/>
    <mergeCell ref="P4:R4"/>
    <mergeCell ref="B20:E20"/>
    <mergeCell ref="B19:E19"/>
    <mergeCell ref="B18:E18"/>
    <mergeCell ref="B17:E17"/>
    <mergeCell ref="B16:E16"/>
  </mergeCells>
  <phoneticPr fontId="3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간단 효율</vt:lpstr>
      <vt:lpstr>기준표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kkiimm1119@gmail.com</dc:creator>
  <cp:keywords/>
  <dc:description/>
  <cp:lastModifiedBy>kkiimm1119@gmail.com</cp:lastModifiedBy>
  <cp:revision/>
  <dcterms:created xsi:type="dcterms:W3CDTF">2025-07-15T18:30:22Z</dcterms:created>
  <dcterms:modified xsi:type="dcterms:W3CDTF">2025-07-24T16:46:51Z</dcterms:modified>
  <cp:category/>
  <cp:contentStatus/>
</cp:coreProperties>
</file>