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codeName="현재_통합_문서"/>
  <mc:AlternateContent xmlns:mc="http://schemas.openxmlformats.org/markup-compatibility/2006">
    <mc:Choice Requires="x15">
      <x15ac:absPath xmlns:x15ac="http://schemas.microsoft.com/office/spreadsheetml/2010/11/ac" url="https://d.docs.live.net/2BD1CA836A45D374/"/>
    </mc:Choice>
  </mc:AlternateContent>
  <xr:revisionPtr revIDLastSave="72" documentId="8_{FFD97F2A-4679-4170-AE25-028937D98CD4}" xr6:coauthVersionLast="47" xr6:coauthVersionMax="47" xr10:uidLastSave="{03ED0DBB-D7A6-483D-844E-A33176F8693B}"/>
  <bookViews>
    <workbookView xWindow="28680" yWindow="-120" windowWidth="29040" windowHeight="15720" xr2:uid="{00000000-000D-0000-FFFF-FFFF00000000}"/>
  </bookViews>
  <sheets>
    <sheet name="계산기" sheetId="4" r:id="rId1"/>
    <sheet name="원래 스펙" sheetId="3" r:id="rId2"/>
    <sheet name="변경 스펙" sheetId="5" r:id="rId3"/>
    <sheet name="기준표" sheetId="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8" i="5" l="1"/>
  <c r="L18" i="5" s="1"/>
  <c r="K15" i="5"/>
  <c r="K14" i="5"/>
  <c r="L14" i="5" s="1"/>
  <c r="K11" i="5"/>
  <c r="K10" i="5"/>
  <c r="K9" i="5"/>
  <c r="K6" i="5"/>
  <c r="L6" i="5" s="1"/>
  <c r="K5" i="5"/>
  <c r="L5" i="5" s="1"/>
  <c r="K4" i="5"/>
  <c r="N20" i="5" s="1"/>
  <c r="O20" i="5" s="1"/>
  <c r="D15" i="5"/>
  <c r="D17" i="5"/>
  <c r="D11" i="5"/>
  <c r="D10" i="5"/>
  <c r="D9" i="5"/>
  <c r="D8" i="5"/>
  <c r="D7" i="5"/>
  <c r="D6" i="5"/>
  <c r="D5" i="5"/>
  <c r="D4" i="5"/>
  <c r="D3" i="5"/>
  <c r="D12" i="5"/>
  <c r="D15" i="3"/>
  <c r="D13" i="5"/>
  <c r="D17" i="3"/>
  <c r="K18" i="3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9" i="4"/>
  <c r="V8" i="4"/>
  <c r="V7" i="4"/>
  <c r="V6" i="4"/>
  <c r="V5" i="4"/>
  <c r="L16" i="5"/>
  <c r="L11" i="5"/>
  <c r="D16" i="5"/>
  <c r="D14" i="5"/>
  <c r="M43" i="5"/>
  <c r="R37" i="5"/>
  <c r="R36" i="5"/>
  <c r="N22" i="5"/>
  <c r="L22" i="5"/>
  <c r="N21" i="5"/>
  <c r="L21" i="5"/>
  <c r="M20" i="5"/>
  <c r="L20" i="5"/>
  <c r="M19" i="5"/>
  <c r="M18" i="5"/>
  <c r="M17" i="5"/>
  <c r="M16" i="5"/>
  <c r="M15" i="5"/>
  <c r="M14" i="5"/>
  <c r="M13" i="5"/>
  <c r="M12" i="5"/>
  <c r="M11" i="5"/>
  <c r="L10" i="5"/>
  <c r="L9" i="5"/>
  <c r="O8" i="5"/>
  <c r="M6" i="5"/>
  <c r="Z4" i="5"/>
  <c r="D4" i="3"/>
  <c r="D5" i="3"/>
  <c r="D6" i="3"/>
  <c r="D7" i="3"/>
  <c r="D8" i="3"/>
  <c r="D9" i="3"/>
  <c r="D10" i="3"/>
  <c r="D11" i="3"/>
  <c r="D14" i="3"/>
  <c r="D16" i="3"/>
  <c r="D3" i="3"/>
  <c r="J8" i="4"/>
  <c r="J7" i="4"/>
  <c r="L18" i="3"/>
  <c r="K15" i="3"/>
  <c r="L15" i="3" s="1"/>
  <c r="K14" i="3"/>
  <c r="L14" i="3" s="1"/>
  <c r="K11" i="3"/>
  <c r="L13" i="3" s="1"/>
  <c r="K10" i="3"/>
  <c r="L10" i="3" s="1"/>
  <c r="K9" i="3"/>
  <c r="L9" i="3" s="1"/>
  <c r="K6" i="3"/>
  <c r="L6" i="3" s="1"/>
  <c r="K5" i="3"/>
  <c r="L5" i="3" s="1"/>
  <c r="K4" i="3"/>
  <c r="N20" i="3" s="1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9" i="4"/>
  <c r="J6" i="4"/>
  <c r="J5" i="4"/>
  <c r="D12" i="3"/>
  <c r="M43" i="3"/>
  <c r="R37" i="3"/>
  <c r="N22" i="3"/>
  <c r="L22" i="3"/>
  <c r="N21" i="3"/>
  <c r="L21" i="3"/>
  <c r="M20" i="3"/>
  <c r="L20" i="3"/>
  <c r="M19" i="3"/>
  <c r="M18" i="3"/>
  <c r="M17" i="3"/>
  <c r="M16" i="3"/>
  <c r="M15" i="3"/>
  <c r="M14" i="3"/>
  <c r="M13" i="3"/>
  <c r="R36" i="3" s="1"/>
  <c r="M12" i="3"/>
  <c r="M11" i="3" s="1"/>
  <c r="O8" i="3"/>
  <c r="M6" i="3"/>
  <c r="Z4" i="3"/>
  <c r="L17" i="3" l="1"/>
  <c r="D13" i="3"/>
  <c r="N14" i="5"/>
  <c r="O14" i="5" s="1"/>
  <c r="R14" i="5" s="1"/>
  <c r="R22" i="5"/>
  <c r="N7" i="5"/>
  <c r="O7" i="5" s="1"/>
  <c r="L8" i="5"/>
  <c r="P8" i="5" s="1"/>
  <c r="R21" i="5"/>
  <c r="L17" i="5"/>
  <c r="P17" i="5" s="1"/>
  <c r="R18" i="5"/>
  <c r="L13" i="5"/>
  <c r="N13" i="5"/>
  <c r="O13" i="5" s="1"/>
  <c r="Q18" i="5"/>
  <c r="L16" i="3"/>
  <c r="P16" i="3" s="1"/>
  <c r="N19" i="5"/>
  <c r="Q19" i="5" s="1"/>
  <c r="P16" i="5"/>
  <c r="P20" i="5"/>
  <c r="L15" i="5"/>
  <c r="Q15" i="5" s="1"/>
  <c r="Q20" i="5"/>
  <c r="L7" i="5"/>
  <c r="L12" i="5"/>
  <c r="P12" i="5" s="1"/>
  <c r="P22" i="5"/>
  <c r="R10" i="5"/>
  <c r="P9" i="5"/>
  <c r="Q16" i="5"/>
  <c r="R16" i="5"/>
  <c r="P19" i="5"/>
  <c r="R20" i="5"/>
  <c r="N5" i="5"/>
  <c r="O5" i="5" s="1"/>
  <c r="R5" i="5" s="1"/>
  <c r="N6" i="5"/>
  <c r="O6" i="5" s="1"/>
  <c r="R6" i="5" s="1"/>
  <c r="P14" i="5"/>
  <c r="P18" i="5"/>
  <c r="Q22" i="5"/>
  <c r="P5" i="5"/>
  <c r="P6" i="5"/>
  <c r="N11" i="5"/>
  <c r="O11" i="5" s="1"/>
  <c r="R11" i="5" s="1"/>
  <c r="P21" i="5"/>
  <c r="P10" i="5"/>
  <c r="P11" i="5"/>
  <c r="Q21" i="5"/>
  <c r="N9" i="5"/>
  <c r="O9" i="5" s="1"/>
  <c r="R9" i="5" s="1"/>
  <c r="Q10" i="5"/>
  <c r="L11" i="3"/>
  <c r="P11" i="3" s="1"/>
  <c r="L12" i="3"/>
  <c r="P12" i="3" s="1"/>
  <c r="R22" i="3"/>
  <c r="Q22" i="3"/>
  <c r="S68" i="3" s="1"/>
  <c r="Q15" i="3"/>
  <c r="Q10" i="3"/>
  <c r="Q56" i="3" s="1"/>
  <c r="P21" i="3"/>
  <c r="N6" i="3"/>
  <c r="O6" i="3" s="1"/>
  <c r="R6" i="3" s="1"/>
  <c r="N5" i="3"/>
  <c r="O5" i="3" s="1"/>
  <c r="R5" i="3" s="1"/>
  <c r="P6" i="3"/>
  <c r="P19" i="3"/>
  <c r="L8" i="3"/>
  <c r="P8" i="3" s="1"/>
  <c r="N19" i="3"/>
  <c r="Q19" i="3" s="1"/>
  <c r="N14" i="3"/>
  <c r="Q14" i="3" s="1"/>
  <c r="L7" i="3"/>
  <c r="P7" i="3" s="1"/>
  <c r="N7" i="3"/>
  <c r="O7" i="3" s="1"/>
  <c r="N13" i="3"/>
  <c r="Q13" i="3" s="1"/>
  <c r="N9" i="3"/>
  <c r="O9" i="3" s="1"/>
  <c r="R9" i="3" s="1"/>
  <c r="P14" i="3"/>
  <c r="R10" i="3"/>
  <c r="O20" i="3"/>
  <c r="R20" i="3" s="1"/>
  <c r="P13" i="3"/>
  <c r="Q21" i="3"/>
  <c r="R17" i="3"/>
  <c r="Q18" i="3"/>
  <c r="P22" i="3"/>
  <c r="N11" i="3"/>
  <c r="O11" i="3" s="1"/>
  <c r="P17" i="3"/>
  <c r="Q20" i="3"/>
  <c r="R21" i="3"/>
  <c r="P20" i="3"/>
  <c r="R15" i="3"/>
  <c r="P5" i="3"/>
  <c r="P9" i="3"/>
  <c r="P10" i="3"/>
  <c r="P15" i="3"/>
  <c r="P18" i="3"/>
  <c r="R18" i="3"/>
  <c r="Q17" i="3"/>
  <c r="R22" i="1"/>
  <c r="Q22" i="1"/>
  <c r="R21" i="1"/>
  <c r="Q21" i="1"/>
  <c r="R20" i="1"/>
  <c r="Q20" i="1"/>
  <c r="R19" i="1"/>
  <c r="Q19" i="1"/>
  <c r="R18" i="1"/>
  <c r="Q18" i="1"/>
  <c r="R17" i="1"/>
  <c r="Q17" i="1"/>
  <c r="R15" i="1"/>
  <c r="Q15" i="1"/>
  <c r="R13" i="1"/>
  <c r="Q13" i="1"/>
  <c r="Q11" i="1"/>
  <c r="R11" i="1"/>
  <c r="R10" i="1"/>
  <c r="Q10" i="1"/>
  <c r="R9" i="1"/>
  <c r="Q9" i="1"/>
  <c r="R8" i="1"/>
  <c r="Q8" i="1"/>
  <c r="R7" i="1"/>
  <c r="Q7" i="1"/>
  <c r="R6" i="1"/>
  <c r="Q6" i="1"/>
  <c r="R5" i="1"/>
  <c r="Q5" i="1"/>
  <c r="D13" i="1"/>
  <c r="O9" i="1"/>
  <c r="R8" i="3" l="1"/>
  <c r="Q14" i="5"/>
  <c r="S60" i="5" s="1"/>
  <c r="O19" i="5"/>
  <c r="R19" i="5" s="1"/>
  <c r="S19" i="5" s="1"/>
  <c r="H19" i="5" s="1"/>
  <c r="R17" i="5"/>
  <c r="R13" i="5"/>
  <c r="Q17" i="5"/>
  <c r="R11" i="3"/>
  <c r="Q7" i="5"/>
  <c r="S53" i="5" s="1"/>
  <c r="R8" i="5"/>
  <c r="Q8" i="5"/>
  <c r="S54" i="5" s="1"/>
  <c r="Q9" i="5"/>
  <c r="S9" i="5" s="1"/>
  <c r="H9" i="5" s="1"/>
  <c r="Q13" i="5"/>
  <c r="Q59" i="5" s="1"/>
  <c r="Q8" i="3"/>
  <c r="Q54" i="3" s="1"/>
  <c r="Q6" i="5"/>
  <c r="S52" i="5" s="1"/>
  <c r="Q5" i="5"/>
  <c r="S5" i="5" s="1"/>
  <c r="H5" i="5" s="1"/>
  <c r="R12" i="3"/>
  <c r="O14" i="3"/>
  <c r="R14" i="3" s="1"/>
  <c r="S14" i="3" s="1"/>
  <c r="H14" i="3" s="1"/>
  <c r="Q16" i="3"/>
  <c r="S21" i="5"/>
  <c r="H21" i="5" s="1"/>
  <c r="S18" i="5"/>
  <c r="H18" i="5" s="1"/>
  <c r="Q12" i="5"/>
  <c r="R16" i="3"/>
  <c r="Q11" i="5"/>
  <c r="S11" i="5" s="1"/>
  <c r="H11" i="5" s="1"/>
  <c r="R12" i="5"/>
  <c r="P13" i="5"/>
  <c r="R15" i="5"/>
  <c r="Q12" i="3"/>
  <c r="S65" i="5"/>
  <c r="Q65" i="5"/>
  <c r="S16" i="5"/>
  <c r="H16" i="5" s="1"/>
  <c r="P15" i="5"/>
  <c r="S68" i="5"/>
  <c r="Q68" i="5"/>
  <c r="Q66" i="5"/>
  <c r="S66" i="5"/>
  <c r="S56" i="5"/>
  <c r="Q56" i="5"/>
  <c r="P7" i="5"/>
  <c r="S67" i="5"/>
  <c r="Q67" i="5"/>
  <c r="R7" i="5"/>
  <c r="S20" i="5"/>
  <c r="H20" i="5" s="1"/>
  <c r="S22" i="5"/>
  <c r="H22" i="5" s="1"/>
  <c r="S10" i="5"/>
  <c r="Q9" i="3"/>
  <c r="Q55" i="3" s="1"/>
  <c r="Q6" i="3"/>
  <c r="S6" i="3" s="1"/>
  <c r="Q68" i="3"/>
  <c r="S22" i="3"/>
  <c r="S56" i="3"/>
  <c r="S21" i="3"/>
  <c r="Q60" i="3"/>
  <c r="S60" i="3"/>
  <c r="O13" i="3"/>
  <c r="R13" i="3" s="1"/>
  <c r="S13" i="3" s="1"/>
  <c r="H13" i="3" s="1"/>
  <c r="O19" i="3"/>
  <c r="R19" i="3" s="1"/>
  <c r="S19" i="3" s="1"/>
  <c r="R7" i="3"/>
  <c r="Q7" i="3"/>
  <c r="S53" i="3" s="1"/>
  <c r="S65" i="3"/>
  <c r="Q65" i="3"/>
  <c r="Q5" i="3"/>
  <c r="Q59" i="3"/>
  <c r="S59" i="3"/>
  <c r="Q11" i="3"/>
  <c r="S66" i="3"/>
  <c r="Q66" i="3"/>
  <c r="Q67" i="3"/>
  <c r="S67" i="3"/>
  <c r="S18" i="3"/>
  <c r="H18" i="3" s="1"/>
  <c r="S17" i="3"/>
  <c r="S15" i="3"/>
  <c r="S20" i="3"/>
  <c r="S10" i="3"/>
  <c r="N22" i="1"/>
  <c r="L22" i="1"/>
  <c r="N21" i="1"/>
  <c r="L21" i="1"/>
  <c r="P21" i="1" s="1"/>
  <c r="N20" i="1"/>
  <c r="M20" i="1"/>
  <c r="O20" i="1" s="1"/>
  <c r="L20" i="1"/>
  <c r="P19" i="1"/>
  <c r="N19" i="1"/>
  <c r="M19" i="1"/>
  <c r="O19" i="1" s="1"/>
  <c r="M18" i="1"/>
  <c r="L18" i="1"/>
  <c r="M17" i="1"/>
  <c r="L17" i="1"/>
  <c r="P17" i="1" s="1"/>
  <c r="M16" i="1"/>
  <c r="L16" i="1"/>
  <c r="S37" i="1" s="1"/>
  <c r="M15" i="1"/>
  <c r="L15" i="1"/>
  <c r="P15" i="1" s="1"/>
  <c r="N14" i="1"/>
  <c r="M14" i="1"/>
  <c r="L14" i="1"/>
  <c r="N13" i="1"/>
  <c r="M13" i="1"/>
  <c r="O13" i="1" s="1"/>
  <c r="L13" i="1"/>
  <c r="R12" i="1"/>
  <c r="Q12" i="1"/>
  <c r="M12" i="1"/>
  <c r="P12" i="1" s="1"/>
  <c r="S12" i="1" s="1"/>
  <c r="L12" i="1"/>
  <c r="L11" i="1"/>
  <c r="L10" i="1"/>
  <c r="P10" i="1" s="1"/>
  <c r="N9" i="1"/>
  <c r="L9" i="1"/>
  <c r="O8" i="1"/>
  <c r="L8" i="1"/>
  <c r="P8" i="1" s="1"/>
  <c r="S8" i="1" s="1"/>
  <c r="N7" i="1"/>
  <c r="O7" i="1" s="1"/>
  <c r="L7" i="1"/>
  <c r="N6" i="1"/>
  <c r="M6" i="1"/>
  <c r="L6" i="1"/>
  <c r="P5" i="1"/>
  <c r="N5" i="1"/>
  <c r="O5" i="1" s="1"/>
  <c r="L5" i="1"/>
  <c r="Q35" i="1"/>
  <c r="S39" i="1"/>
  <c r="S40" i="1"/>
  <c r="S41" i="1"/>
  <c r="S38" i="1"/>
  <c r="S35" i="1"/>
  <c r="Q41" i="1"/>
  <c r="Q39" i="1"/>
  <c r="Q40" i="1"/>
  <c r="Q38" i="1"/>
  <c r="R37" i="1"/>
  <c r="S42" i="1"/>
  <c r="AA4" i="1"/>
  <c r="H23" i="1"/>
  <c r="J13" i="1" s="1"/>
  <c r="S41" i="5" l="1"/>
  <c r="Q60" i="5"/>
  <c r="S14" i="5"/>
  <c r="H14" i="5" s="1"/>
  <c r="S17" i="5"/>
  <c r="H17" i="5" s="1"/>
  <c r="Q53" i="5"/>
  <c r="S15" i="5"/>
  <c r="H15" i="5" s="1"/>
  <c r="S11" i="3"/>
  <c r="H11" i="3" s="1"/>
  <c r="S55" i="5"/>
  <c r="Q55" i="5"/>
  <c r="S8" i="5"/>
  <c r="H8" i="5" s="1"/>
  <c r="S13" i="5"/>
  <c r="H13" i="5" s="1"/>
  <c r="S54" i="3"/>
  <c r="Q41" i="5"/>
  <c r="U18" i="4" s="1"/>
  <c r="S51" i="5"/>
  <c r="S6" i="5"/>
  <c r="H6" i="5" s="1"/>
  <c r="Q51" i="5"/>
  <c r="S8" i="3"/>
  <c r="H8" i="3" s="1"/>
  <c r="S59" i="5"/>
  <c r="Q54" i="5"/>
  <c r="S52" i="3"/>
  <c r="S12" i="5"/>
  <c r="H12" i="5" s="1"/>
  <c r="S12" i="3"/>
  <c r="H12" i="3" s="1"/>
  <c r="Q52" i="3"/>
  <c r="Q52" i="5"/>
  <c r="S16" i="3"/>
  <c r="H16" i="3" s="1"/>
  <c r="S9" i="3"/>
  <c r="H9" i="3" s="1"/>
  <c r="H6" i="3"/>
  <c r="H20" i="3"/>
  <c r="S57" i="5"/>
  <c r="H15" i="3"/>
  <c r="S55" i="3"/>
  <c r="H21" i="3"/>
  <c r="H17" i="3"/>
  <c r="H22" i="3"/>
  <c r="Q57" i="5"/>
  <c r="H19" i="3"/>
  <c r="H10" i="5"/>
  <c r="Q32" i="5"/>
  <c r="S42" i="5"/>
  <c r="Q37" i="5"/>
  <c r="S31" i="5"/>
  <c r="Q42" i="5"/>
  <c r="S36" i="5"/>
  <c r="Q31" i="5"/>
  <c r="S30" i="5"/>
  <c r="Q36" i="5"/>
  <c r="Q30" i="5"/>
  <c r="S39" i="5"/>
  <c r="S34" i="5"/>
  <c r="Q29" i="5"/>
  <c r="S44" i="5"/>
  <c r="Q34" i="5"/>
  <c r="Q44" i="5"/>
  <c r="S33" i="5"/>
  <c r="Q33" i="5"/>
  <c r="Q43" i="5"/>
  <c r="S37" i="5"/>
  <c r="S45" i="5"/>
  <c r="S29" i="5"/>
  <c r="Q45" i="5"/>
  <c r="Q39" i="5"/>
  <c r="S43" i="5"/>
  <c r="S32" i="5"/>
  <c r="S7" i="5"/>
  <c r="S7" i="3"/>
  <c r="Q53" i="3"/>
  <c r="Q51" i="3"/>
  <c r="S51" i="3"/>
  <c r="S5" i="3"/>
  <c r="S57" i="3"/>
  <c r="Q57" i="3"/>
  <c r="H10" i="3"/>
  <c r="S10" i="1"/>
  <c r="T10" i="1" s="1"/>
  <c r="S17" i="1"/>
  <c r="T17" i="1" s="1"/>
  <c r="S15" i="1"/>
  <c r="T15" i="1" s="1"/>
  <c r="O14" i="1"/>
  <c r="R14" i="1"/>
  <c r="R36" i="1"/>
  <c r="O6" i="1"/>
  <c r="P6" i="1"/>
  <c r="J5" i="1"/>
  <c r="S19" i="1"/>
  <c r="T19" i="1" s="1"/>
  <c r="S5" i="1"/>
  <c r="T5" i="1" s="1"/>
  <c r="M11" i="1"/>
  <c r="P7" i="1"/>
  <c r="S7" i="1" s="1"/>
  <c r="T7" i="1" s="1"/>
  <c r="P14" i="1"/>
  <c r="P16" i="1"/>
  <c r="P18" i="1"/>
  <c r="S18" i="1" s="1"/>
  <c r="T18" i="1" s="1"/>
  <c r="S30" i="1"/>
  <c r="P9" i="1"/>
  <c r="Q14" i="1"/>
  <c r="Q16" i="1"/>
  <c r="Q33" i="1"/>
  <c r="R16" i="1"/>
  <c r="Q32" i="1"/>
  <c r="P20" i="1"/>
  <c r="S20" i="1" s="1"/>
  <c r="T20" i="1" s="1"/>
  <c r="P22" i="1"/>
  <c r="S22" i="1" s="1"/>
  <c r="T22" i="1" s="1"/>
  <c r="S33" i="1"/>
  <c r="P13" i="1"/>
  <c r="T12" i="1"/>
  <c r="Q31" i="1"/>
  <c r="Q45" i="1"/>
  <c r="S31" i="1"/>
  <c r="Q44" i="1"/>
  <c r="Q37" i="1"/>
  <c r="Q42" i="1"/>
  <c r="S36" i="1"/>
  <c r="Q29" i="1"/>
  <c r="Q34" i="1"/>
  <c r="J22" i="1"/>
  <c r="Q36" i="1"/>
  <c r="J6" i="1"/>
  <c r="J18" i="1"/>
  <c r="Q43" i="1"/>
  <c r="S29" i="1"/>
  <c r="J15" i="1"/>
  <c r="J14" i="1"/>
  <c r="S43" i="1"/>
  <c r="J7" i="1"/>
  <c r="S34" i="1"/>
  <c r="J9" i="1"/>
  <c r="J19" i="1"/>
  <c r="J20" i="1"/>
  <c r="J17" i="1"/>
  <c r="J12" i="1"/>
  <c r="J10" i="1"/>
  <c r="J16" i="1"/>
  <c r="J11" i="1"/>
  <c r="J23" i="1"/>
  <c r="J21" i="1"/>
  <c r="S45" i="1"/>
  <c r="S44" i="1"/>
  <c r="Q30" i="1"/>
  <c r="S32" i="1"/>
  <c r="U21" i="4" l="1"/>
  <c r="U5" i="4"/>
  <c r="U22" i="4"/>
  <c r="U20" i="4"/>
  <c r="U19" i="4"/>
  <c r="U16" i="4"/>
  <c r="U11" i="4"/>
  <c r="U9" i="4"/>
  <c r="U14" i="4"/>
  <c r="U10" i="4"/>
  <c r="U6" i="4"/>
  <c r="U13" i="4"/>
  <c r="S35" i="5"/>
  <c r="S38" i="5"/>
  <c r="S40" i="5"/>
  <c r="Q40" i="5"/>
  <c r="S23" i="3"/>
  <c r="Q38" i="5"/>
  <c r="S69" i="3"/>
  <c r="H7" i="5"/>
  <c r="U7" i="4" s="1"/>
  <c r="S69" i="5"/>
  <c r="Q69" i="3"/>
  <c r="Q69" i="5"/>
  <c r="S41" i="3"/>
  <c r="S35" i="3"/>
  <c r="Q35" i="5"/>
  <c r="S38" i="3"/>
  <c r="S45" i="3"/>
  <c r="Q43" i="3"/>
  <c r="I20" i="4" s="1"/>
  <c r="S29" i="3"/>
  <c r="S37" i="3"/>
  <c r="Q42" i="3"/>
  <c r="Q39" i="3"/>
  <c r="S32" i="3"/>
  <c r="S36" i="3"/>
  <c r="Q44" i="3"/>
  <c r="S31" i="3"/>
  <c r="Q31" i="3"/>
  <c r="S43" i="3"/>
  <c r="S34" i="3"/>
  <c r="Q32" i="3"/>
  <c r="S33" i="3"/>
  <c r="Q37" i="3"/>
  <c r="I14" i="4" s="1"/>
  <c r="S42" i="3"/>
  <c r="Q45" i="3"/>
  <c r="I22" i="4" s="1"/>
  <c r="S30" i="3"/>
  <c r="S39" i="3"/>
  <c r="Q36" i="3"/>
  <c r="I13" i="4" s="1"/>
  <c r="Q30" i="3"/>
  <c r="Q29" i="3"/>
  <c r="Q33" i="3"/>
  <c r="S44" i="3"/>
  <c r="Q34" i="3"/>
  <c r="I11" i="4" s="1"/>
  <c r="Q41" i="3"/>
  <c r="Q38" i="3"/>
  <c r="Q35" i="3"/>
  <c r="I12" i="4" s="1"/>
  <c r="H5" i="3"/>
  <c r="I5" i="4" s="1"/>
  <c r="Q40" i="3"/>
  <c r="S40" i="3"/>
  <c r="H7" i="3"/>
  <c r="S16" i="1"/>
  <c r="T16" i="1" s="1"/>
  <c r="S21" i="1"/>
  <c r="T21" i="1" s="1"/>
  <c r="S13" i="1"/>
  <c r="T13" i="1" s="1"/>
  <c r="S14" i="1"/>
  <c r="T14" i="1" s="1"/>
  <c r="S6" i="1"/>
  <c r="T6" i="1" s="1"/>
  <c r="N11" i="1"/>
  <c r="P11" i="1"/>
  <c r="S9" i="1"/>
  <c r="T9" i="1" s="1"/>
  <c r="Q46" i="1"/>
  <c r="AB22" i="1" s="1"/>
  <c r="S46" i="1"/>
  <c r="AA22" i="1" s="1"/>
  <c r="AC22" i="1"/>
  <c r="I6" i="4" l="1"/>
  <c r="I10" i="4"/>
  <c r="I17" i="4"/>
  <c r="I16" i="4"/>
  <c r="I21" i="4"/>
  <c r="I19" i="4"/>
  <c r="I15" i="4"/>
  <c r="I18" i="4"/>
  <c r="I9" i="4"/>
  <c r="U12" i="4"/>
  <c r="U17" i="4"/>
  <c r="U15" i="4"/>
  <c r="I7" i="4"/>
  <c r="S46" i="5"/>
  <c r="H23" i="5"/>
  <c r="Y22" i="5" s="1"/>
  <c r="P27" i="4" s="1"/>
  <c r="Q46" i="5"/>
  <c r="Q46" i="3"/>
  <c r="S46" i="3"/>
  <c r="H23" i="3"/>
  <c r="X22" i="3" s="1"/>
  <c r="O11" i="1"/>
  <c r="S11" i="1" s="1"/>
  <c r="U23" i="4" l="1"/>
  <c r="W16" i="4" s="1"/>
  <c r="X22" i="5"/>
  <c r="P26" i="4" s="1"/>
  <c r="J11" i="5"/>
  <c r="W27" i="5"/>
  <c r="AA24" i="5"/>
  <c r="R23" i="4" s="1"/>
  <c r="J15" i="5"/>
  <c r="Y28" i="5"/>
  <c r="Z24" i="5"/>
  <c r="R22" i="4" s="1"/>
  <c r="J16" i="5"/>
  <c r="J12" i="5"/>
  <c r="Y23" i="5"/>
  <c r="R27" i="4" s="1"/>
  <c r="J17" i="5"/>
  <c r="X23" i="5"/>
  <c r="R26" i="4" s="1"/>
  <c r="AA22" i="5"/>
  <c r="P23" i="4" s="1"/>
  <c r="J22" i="5"/>
  <c r="J20" i="5"/>
  <c r="J19" i="5"/>
  <c r="J7" i="5"/>
  <c r="J18" i="5"/>
  <c r="Y25" i="5"/>
  <c r="J10" i="5"/>
  <c r="J6" i="5"/>
  <c r="J14" i="5"/>
  <c r="J9" i="5"/>
  <c r="J21" i="5"/>
  <c r="AB24" i="5"/>
  <c r="R24" i="4" s="1"/>
  <c r="J13" i="5"/>
  <c r="J23" i="5"/>
  <c r="Y29" i="5"/>
  <c r="Z22" i="5"/>
  <c r="P22" i="4" s="1"/>
  <c r="AB22" i="5"/>
  <c r="P24" i="4" s="1"/>
  <c r="W23" i="5"/>
  <c r="R25" i="4" s="1"/>
  <c r="J5" i="5"/>
  <c r="W22" i="5"/>
  <c r="P25" i="4" s="1"/>
  <c r="W10" i="4"/>
  <c r="W22" i="4"/>
  <c r="W14" i="4"/>
  <c r="W11" i="4"/>
  <c r="W8" i="4"/>
  <c r="W17" i="4"/>
  <c r="W19" i="4"/>
  <c r="W21" i="4"/>
  <c r="W13" i="4"/>
  <c r="W7" i="4"/>
  <c r="W18" i="4"/>
  <c r="W5" i="4"/>
  <c r="Z22" i="3"/>
  <c r="D22" i="4" s="1"/>
  <c r="D26" i="4"/>
  <c r="Z24" i="3"/>
  <c r="F22" i="4" s="1"/>
  <c r="W22" i="3"/>
  <c r="D25" i="4" s="1"/>
  <c r="Y22" i="3"/>
  <c r="D27" i="4" s="1"/>
  <c r="AB24" i="3"/>
  <c r="F24" i="4" s="1"/>
  <c r="Y23" i="3"/>
  <c r="F27" i="4" s="1"/>
  <c r="W23" i="3"/>
  <c r="F25" i="4" s="1"/>
  <c r="J6" i="3"/>
  <c r="J11" i="3"/>
  <c r="J7" i="3"/>
  <c r="J14" i="3"/>
  <c r="J22" i="3"/>
  <c r="J21" i="3"/>
  <c r="J9" i="3"/>
  <c r="AA22" i="3"/>
  <c r="D23" i="4" s="1"/>
  <c r="J19" i="3"/>
  <c r="I23" i="4"/>
  <c r="K11" i="4" s="1"/>
  <c r="J18" i="3"/>
  <c r="J16" i="3"/>
  <c r="J13" i="3"/>
  <c r="Y28" i="3"/>
  <c r="J20" i="3"/>
  <c r="J5" i="3"/>
  <c r="J10" i="3"/>
  <c r="X23" i="3"/>
  <c r="F26" i="4" s="1"/>
  <c r="J12" i="3"/>
  <c r="AB22" i="3"/>
  <c r="D24" i="4" s="1"/>
  <c r="J15" i="3"/>
  <c r="J23" i="3"/>
  <c r="J17" i="3"/>
  <c r="AA24" i="3"/>
  <c r="F23" i="4" s="1"/>
  <c r="W27" i="3"/>
  <c r="Y25" i="3"/>
  <c r="Y29" i="3"/>
  <c r="T11" i="1"/>
  <c r="Z23" i="1"/>
  <c r="X22" i="1"/>
  <c r="Y23" i="1"/>
  <c r="Z22" i="1"/>
  <c r="Y22" i="1"/>
  <c r="X23" i="1"/>
  <c r="W15" i="4" l="1"/>
  <c r="W20" i="4"/>
  <c r="W12" i="4"/>
  <c r="W6" i="4"/>
  <c r="W9" i="4"/>
  <c r="H25" i="5"/>
  <c r="H24" i="3"/>
  <c r="W25" i="4"/>
  <c r="H24" i="5"/>
  <c r="H25" i="3"/>
  <c r="K19" i="4"/>
  <c r="K17" i="4"/>
  <c r="K20" i="4"/>
  <c r="K15" i="4"/>
  <c r="K16" i="4"/>
  <c r="K7" i="4"/>
  <c r="K21" i="4"/>
  <c r="K12" i="4"/>
  <c r="K18" i="4"/>
  <c r="K10" i="4"/>
  <c r="K9" i="4"/>
  <c r="K13" i="4"/>
  <c r="K22" i="4"/>
  <c r="K8" i="4"/>
  <c r="K5" i="4"/>
  <c r="K6" i="4"/>
  <c r="K14" i="4"/>
  <c r="W23" i="4" l="1"/>
  <c r="K23" i="4"/>
</calcChain>
</file>

<file path=xl/sharedStrings.xml><?xml version="1.0" encoding="utf-8"?>
<sst xmlns="http://schemas.openxmlformats.org/spreadsheetml/2006/main" count="621" uniqueCount="152">
  <si>
    <t>헥사 레벨</t>
  </si>
  <si>
    <t>각 버프 지속 중 사용 횟수</t>
  </si>
  <si>
    <t>주스탯</t>
  </si>
  <si>
    <t>기본수치</t>
  </si>
  <si>
    <t>로 아이아스</t>
  </si>
  <si>
    <t>%수치</t>
  </si>
  <si>
    <t>%미적용수치</t>
  </si>
  <si>
    <t>부스탯</t>
  </si>
  <si>
    <t>공격력</t>
  </si>
  <si>
    <t>클라우 솔라스</t>
  </si>
  <si>
    <t>크리데미지</t>
  </si>
  <si>
    <t>방어율 무시</t>
  </si>
  <si>
    <t>오라 웨폰</t>
  </si>
  <si>
    <t>오펜시브 디펜스</t>
  </si>
  <si>
    <t>총 퍼뎀</t>
  </si>
  <si>
    <t>스킬명</t>
  </si>
  <si>
    <t>로얄 가드</t>
  </si>
  <si>
    <t>파이널 어택</t>
  </si>
  <si>
    <t>소드 오브
소울 라이트</t>
  </si>
  <si>
    <t>라이트 오브
커리지</t>
  </si>
  <si>
    <t>시그너스
팔랑크스</t>
  </si>
  <si>
    <t>소울 라이트
슬래시</t>
  </si>
  <si>
    <t>소울 마제스티</t>
  </si>
  <si>
    <t>샤이닝 크로스
어썰트</t>
  </si>
  <si>
    <t>크레스트 오브
더 솔라</t>
  </si>
  <si>
    <t>스파이더
인 미러</t>
  </si>
  <si>
    <t>듀란달</t>
  </si>
  <si>
    <t>라이트 포스레이</t>
  </si>
  <si>
    <t>소드 오브
소울라이트</t>
  </si>
  <si>
    <t>각 버프 지속 중 보공 1%당 증가하는 데미지</t>
  </si>
  <si>
    <t>인스톨 실드</t>
  </si>
  <si>
    <t>데들리 차지</t>
  </si>
  <si>
    <t>데차 검기</t>
  </si>
  <si>
    <t>데미지</t>
  </si>
  <si>
    <t>사용 횟수</t>
  </si>
  <si>
    <t>점유율</t>
  </si>
  <si>
    <t>계</t>
  </si>
  <si>
    <t>컨티 적용 방안</t>
  </si>
  <si>
    <t>라포레, 듀란달, 라오커 : 온전히 적용</t>
  </si>
  <si>
    <t>어썰트, 데차, 클솔 : 컨티 수치의 3분의 2만 적용</t>
  </si>
  <si>
    <t>마제스티, 소라슬, 검의 잔상 : 2 컨티 가동 시간(16초)에 해당하는 횟수만 적용</t>
  </si>
  <si>
    <t>나머지 : 컨티 수치의 3분의 2만 적용</t>
  </si>
  <si>
    <t>보총뎀 + 상추</t>
  </si>
  <si>
    <t>캐릭터 스펙</t>
  </si>
  <si>
    <t>측정 환경</t>
  </si>
  <si>
    <t>리레</t>
  </si>
  <si>
    <t>컨티</t>
  </si>
  <si>
    <t>레벨</t>
  </si>
  <si>
    <t>수치</t>
  </si>
  <si>
    <t>공 95%</t>
  </si>
  <si>
    <t>공 80%</t>
  </si>
  <si>
    <t>보공 140%
공 10%</t>
  </si>
  <si>
    <t>보공 160%
공 12%</t>
  </si>
  <si>
    <t>보공 195%
공 14%</t>
  </si>
  <si>
    <t>15 / 120</t>
  </si>
  <si>
    <t>20 / 120</t>
  </si>
  <si>
    <t>지속 / 쿨</t>
  </si>
  <si>
    <t>시드링 효율</t>
    <phoneticPr fontId="3" type="noConversion"/>
  </si>
  <si>
    <t>컨티</t>
    <phoneticPr fontId="3" type="noConversion"/>
  </si>
  <si>
    <t>리레</t>
    <phoneticPr fontId="3" type="noConversion"/>
  </si>
  <si>
    <t>어센트 스킬, 해방무적, 바인드, 소울스킬 사용 X</t>
    <phoneticPr fontId="3" type="noConversion"/>
  </si>
  <si>
    <t>데차 : 일반 2+2+2   강화 1+1+1</t>
    <phoneticPr fontId="3" type="noConversion"/>
  </si>
  <si>
    <t>스인미, 크오솔은 1번만 사용</t>
    <phoneticPr fontId="3" type="noConversion"/>
  </si>
  <si>
    <t>딜링 방식은 시드링 착용할 때와 동일하게 5분 40초 동안</t>
    <phoneticPr fontId="3" type="noConversion"/>
  </si>
  <si>
    <t>오펜시브, 마제스티 : 24</t>
    <phoneticPr fontId="3" type="noConversion"/>
  </si>
  <si>
    <t>검의 잔상 : 57</t>
    <phoneticPr fontId="3" type="noConversion"/>
  </si>
  <si>
    <t>오라웨폰 : 9</t>
    <phoneticPr fontId="3" type="noConversion"/>
  </si>
  <si>
    <t>5차 스킬은 전부 강화했을 때 기준</t>
    <phoneticPr fontId="3" type="noConversion"/>
  </si>
  <si>
    <t>사용법 및 주의사항</t>
    <phoneticPr fontId="3" type="noConversion"/>
  </si>
  <si>
    <t>스인미, 크오솔 퍼뎀은 소환물의 퍼뎀만을 나타냄</t>
    <phoneticPr fontId="3" type="noConversion"/>
  </si>
  <si>
    <t>캐릭터 스펙 : 5분 40초 측정하기 전 도핑 및 가동률 100% 자버프 사용 후 캐릭터 정보 창에서 찾아 기입</t>
    <phoneticPr fontId="3" type="noConversion"/>
  </si>
  <si>
    <t>스킬 데미지 : 측정 완료 후 전투분석 창 누적데미지에 마우스 커서를 올리면 나오는 값 입력</t>
    <phoneticPr fontId="3" type="noConversion"/>
  </si>
  <si>
    <t>사용 횟수 : 라오커, 라포레, 듀란달은 수정 금지</t>
    <phoneticPr fontId="3" type="noConversion"/>
  </si>
  <si>
    <t>스인미 : 10</t>
    <phoneticPr fontId="3" type="noConversion"/>
  </si>
  <si>
    <t>크오솔 : 9</t>
    <phoneticPr fontId="3" type="noConversion"/>
  </si>
  <si>
    <t>파이널 어택 : 소오소라 지속 중 횟수의 20/24</t>
    <phoneticPr fontId="3" type="noConversion"/>
  </si>
  <si>
    <t>팔랑크스 : 170</t>
    <phoneticPr fontId="3" type="noConversion"/>
  </si>
  <si>
    <t>레벨</t>
    <phoneticPr fontId="3" type="noConversion"/>
  </si>
  <si>
    <t>효율</t>
    <phoneticPr fontId="3" type="noConversion"/>
  </si>
  <si>
    <t>리레 적용 방안(20초, 아래 횟수로 고정 적용)</t>
    <phoneticPr fontId="3" type="noConversion"/>
  </si>
  <si>
    <t>→</t>
    <phoneticPr fontId="3" type="noConversion"/>
  </si>
  <si>
    <t>클솔 : 2+3+3</t>
    <phoneticPr fontId="3" type="noConversion"/>
  </si>
  <si>
    <t>본 계산기는 허수아비 기준으로, 컨트롤이나 보스의 상황 등으로 인해 계산기의 값과 달라질 수 있음</t>
    <phoneticPr fontId="3" type="noConversion"/>
  </si>
  <si>
    <t>리레에 적용되는 스킬 데미지, 횟수</t>
    <phoneticPr fontId="3" type="noConversion"/>
  </si>
  <si>
    <t>스킬명</t>
    <phoneticPr fontId="3" type="noConversion"/>
  </si>
  <si>
    <t>데미지</t>
    <phoneticPr fontId="3" type="noConversion"/>
  </si>
  <si>
    <t>횟수</t>
    <phoneticPr fontId="3" type="noConversion"/>
  </si>
  <si>
    <t>가드 : 전체 횟수 중 60초에 해당하는 비율만큼의 횟수</t>
    <phoneticPr fontId="3" type="noConversion"/>
  </si>
  <si>
    <t xml:space="preserve">                   자동으로 조 단위로 바뀜. 만약 값이 기본 단위보다 작아서 0.000조로 표시되어도 기능은 정상 작동하니 놀라지 마시길</t>
    <phoneticPr fontId="3" type="noConversion"/>
  </si>
  <si>
    <t>회색 셀은 건드리지 말 것!</t>
    <phoneticPr fontId="3" type="noConversion"/>
  </si>
  <si>
    <t>시드링 착용 해제 후 그 자리 비운 상태로 전분 측정바람</t>
    <phoneticPr fontId="3" type="noConversion"/>
  </si>
  <si>
    <r>
      <t xml:space="preserve">레벨 1, 보스, 방어율 380, 체력 무제한, </t>
    </r>
    <r>
      <rPr>
        <b/>
        <sz val="11"/>
        <color theme="1"/>
        <rFont val="맑은 고딕"/>
        <family val="3"/>
        <charset val="129"/>
        <scheme val="minor"/>
      </rPr>
      <t>비반감</t>
    </r>
    <r>
      <rPr>
        <sz val="11"/>
        <color theme="1"/>
        <rFont val="맑은 고딕"/>
        <family val="2"/>
        <charset val="129"/>
        <scheme val="minor"/>
      </rPr>
      <t>으로 설정</t>
    </r>
    <phoneticPr fontId="3" type="noConversion"/>
  </si>
  <si>
    <t>인스톨 실드 : 30</t>
    <phoneticPr fontId="3" type="noConversion"/>
  </si>
  <si>
    <t>라오커 3회
미적용시</t>
    <phoneticPr fontId="3" type="noConversion"/>
  </si>
  <si>
    <t>로 아이아스</t>
    <phoneticPr fontId="3" type="noConversion"/>
  </si>
  <si>
    <t>5, 6레벨</t>
    <phoneticPr fontId="3" type="noConversion"/>
  </si>
  <si>
    <t>4레벨</t>
    <phoneticPr fontId="3" type="noConversion"/>
  </si>
  <si>
    <t>슬래시 : 17+25+25</t>
    <phoneticPr fontId="3" type="noConversion"/>
  </si>
  <si>
    <t>캐릭터 스펙 및 그 옆 표에서 흰색 셀 부분만을 기입하면, 자동으로 컨티와 리레 효율 출력</t>
    <phoneticPr fontId="3" type="noConversion"/>
  </si>
  <si>
    <t>캐릭터 스펙 : 도핑 및 가동률 100% 자버프 사용 후 캐릭터 정보 창에서 찾아 기입</t>
    <phoneticPr fontId="3" type="noConversion"/>
  </si>
  <si>
    <t>아티팩트
파택 레벨</t>
  </si>
  <si>
    <t>효율</t>
  </si>
  <si>
    <t>벞지 10%당
효율</t>
  </si>
  <si>
    <t>버프 지속시간</t>
  </si>
  <si>
    <t>벞지 10%당 엔버링크 슬래시 2회, 로아 및 오라웨폰 적용된 어썰트 2회(데미지 45% 추가) / 빛의 수호 로아 및 오라웨폰 적용된 어썰트 4회(데미지 20% 추가)</t>
  </si>
  <si>
    <t>재사용</t>
  </si>
  <si>
    <t>재사용 추가
예정 수치</t>
  </si>
  <si>
    <t>보공 10%당</t>
  </si>
  <si>
    <t>데미지 공식 리레용, 컨티용 만들기
(공퍼로 인한 변화만 넣으면 됨)</t>
  </si>
  <si>
    <t>벞지 효율을 80% 기준으로 하고 8로 나누기(슬래시 어썰트 16회, 인실 마제스티 오펜 4회, 평딜 오펜 1회, 파택 16 ×0.75회)</t>
  </si>
  <si>
    <t>데미지 부분에 벞지 적용, 80% 이상이면 엔버링크가 버터칼과 같이 꺼지고, 미만이면 +3초 적용(70%면 20초 적용)</t>
  </si>
  <si>
    <t>(10% 단위로 변화하고, 현재 소라슬만 적용해 놓음)</t>
  </si>
  <si>
    <t>모자 쿨감</t>
  </si>
  <si>
    <t>웨펖 준극</t>
    <phoneticPr fontId="3" type="noConversion"/>
  </si>
  <si>
    <t>오라웨폰(상시 유지)</t>
    <phoneticPr fontId="3" type="noConversion"/>
  </si>
  <si>
    <t>컨티 5레벨</t>
    <phoneticPr fontId="3" type="noConversion"/>
  </si>
  <si>
    <t>(인커리지, 쓸샾, 쓸컴뱃, 오라웨폰, 도핑 적용
가드 0스택, 콜렉터의 영약 제외)</t>
    <phoneticPr fontId="3" type="noConversion"/>
  </si>
  <si>
    <t>리레 5 + 웨펖 4</t>
    <phoneticPr fontId="3" type="noConversion"/>
  </si>
  <si>
    <t>'기준표' 시트에는 주/부스탯 4, 공 4 추가 적용해서 계산</t>
    <phoneticPr fontId="3" type="noConversion"/>
  </si>
  <si>
    <t>5차 스킬 전부 강화 기준, 메르 유니온 SSS 기준</t>
    <phoneticPr fontId="3" type="noConversion"/>
  </si>
  <si>
    <t>시드링</t>
    <phoneticPr fontId="3" type="noConversion"/>
  </si>
  <si>
    <t>리레5</t>
    <phoneticPr fontId="3" type="noConversion"/>
  </si>
  <si>
    <t>웨펖에 적용되는 스킬 데미지, 횟수</t>
    <phoneticPr fontId="3" type="noConversion"/>
  </si>
  <si>
    <t>인스톨 실드</t>
    <phoneticPr fontId="3" type="noConversion"/>
  </si>
  <si>
    <t>데들리 차지</t>
    <phoneticPr fontId="3" type="noConversion"/>
  </si>
  <si>
    <t>라이트 오브
커리지</t>
    <phoneticPr fontId="3" type="noConversion"/>
  </si>
  <si>
    <t>클라우 솔라스</t>
    <phoneticPr fontId="3" type="noConversion"/>
  </si>
  <si>
    <t>소드 오브
소울 라이트</t>
    <phoneticPr fontId="3" type="noConversion"/>
  </si>
  <si>
    <t>샤이닝 크로스
어썰트</t>
    <phoneticPr fontId="3" type="noConversion"/>
  </si>
  <si>
    <t>로얄 가드</t>
    <phoneticPr fontId="3" type="noConversion"/>
  </si>
  <si>
    <t>파이널 어택</t>
    <phoneticPr fontId="3" type="noConversion"/>
  </si>
  <si>
    <t>소울 마제스티</t>
    <phoneticPr fontId="3" type="noConversion"/>
  </si>
  <si>
    <t>듀란달</t>
    <phoneticPr fontId="3" type="noConversion"/>
  </si>
  <si>
    <t>헥사 매트릭스</t>
    <phoneticPr fontId="3" type="noConversion"/>
  </si>
  <si>
    <t>오펜시브
디펜스</t>
    <phoneticPr fontId="3" type="noConversion"/>
  </si>
  <si>
    <t>↓</t>
    <phoneticPr fontId="3" type="noConversion"/>
  </si>
  <si>
    <t>컨티
라오커 3회
미적용시</t>
    <phoneticPr fontId="3" type="noConversion"/>
  </si>
  <si>
    <t>라이트
포스레이</t>
    <phoneticPr fontId="3" type="noConversion"/>
  </si>
  <si>
    <t>크레스트
오브 더 솔라</t>
    <phoneticPr fontId="3" type="noConversion"/>
  </si>
  <si>
    <t>아티팩트 파이널 어택 레벨</t>
    <phoneticPr fontId="3" type="noConversion"/>
  </si>
  <si>
    <t xml:space="preserve"> </t>
    <phoneticPr fontId="3" type="noConversion"/>
  </si>
  <si>
    <t>원래 스펙에 비해 최종데미지</t>
    <phoneticPr fontId="3" type="noConversion"/>
  </si>
  <si>
    <t>리레 5 + 웨펖 5</t>
    <phoneticPr fontId="3" type="noConversion"/>
  </si>
  <si>
    <t>모자 쿨감</t>
    <phoneticPr fontId="3" type="noConversion"/>
  </si>
  <si>
    <t>예) 리레4, 컨티5 등 띄어쓰기 없이 입력
미입력 및 오타시 시드링 미적용</t>
    <phoneticPr fontId="3" type="noConversion"/>
  </si>
  <si>
    <t>추가 스펙 입력</t>
    <phoneticPr fontId="3" type="noConversion"/>
  </si>
  <si>
    <t>수치 감소시 - 입력</t>
    <phoneticPr fontId="3" type="noConversion"/>
  </si>
  <si>
    <t>※ 리레 입력시 동일 레벨 웨펖을 사용하는 것으로 간주
다른 레벨의 수치는 시드링 효율표를 통해 직접 계산 바람</t>
    <phoneticPr fontId="3" type="noConversion"/>
  </si>
  <si>
    <t>버프 지속시간</t>
    <phoneticPr fontId="3" type="noConversion"/>
  </si>
  <si>
    <t>(인커리지, 쓸샾, 컴뱃, 오라웨폰, 소울링크,
가드 0스택, 도핑 적용, 콜렉터의 영약 제외)</t>
    <phoneticPr fontId="3" type="noConversion"/>
  </si>
  <si>
    <t>5분 40초 전투분석</t>
    <phoneticPr fontId="3" type="noConversion"/>
  </si>
  <si>
    <t>최근 업데이트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</si>
</sst>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0_);[Red]\(0\)"/>
    <numFmt numFmtId="178" formatCode="mm&quot;월&quot;\ dd&quot;일&quot;"/>
    <numFmt numFmtId="179" formatCode="##,##0.000,,,,&quot;조&quot;"/>
    <numFmt numFmtId="180" formatCode="##,##0.0000,,,,&quot;조&quot;"/>
    <numFmt numFmtId="181" formatCode="yyyy&quot;/&quot;m&quot;/&quot;d;@"/>
    <numFmt numFmtId="182" formatCode="0.0000%"/>
    <numFmt numFmtId="183" formatCode="0.00_ "/>
    <numFmt numFmtId="184" formatCode="\+0.00%;\-0.00%"/>
    <numFmt numFmtId="185" formatCode="[Red]\+0.00%;[Blue]\-0.00%"/>
  </numFmts>
  <fonts count="10" x14ac:knownFonts="1"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b/>
      <sz val="12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16"/>
      <color theme="1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 diagonalUp="1"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 style="thin">
        <color rgb="FF000000"/>
      </diagonal>
    </border>
    <border diagonalUp="1"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 style="thin">
        <color rgb="FF000000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double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 diagonalUp="1"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medium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 style="thin">
        <color rgb="FF000000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rgb="FF000000"/>
      </top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dashDotDot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ashDot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ashDot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7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0" fontId="0" fillId="4" borderId="24" xfId="0" applyNumberForma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10" fontId="0" fillId="0" borderId="0" xfId="0" applyNumberFormat="1" applyAlignment="1">
      <alignment horizontal="left" vertical="center"/>
    </xf>
    <xf numFmtId="180" fontId="0" fillId="0" borderId="14" xfId="0" applyNumberForma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 wrapText="1"/>
    </xf>
    <xf numFmtId="180" fontId="0" fillId="4" borderId="22" xfId="0" applyNumberFormat="1" applyFill="1" applyBorder="1" applyAlignment="1">
      <alignment horizontal="center" vertical="center"/>
    </xf>
    <xf numFmtId="180" fontId="0" fillId="4" borderId="14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0" fillId="4" borderId="37" xfId="0" applyNumberFormat="1" applyFill="1" applyBorder="1" applyAlignment="1">
      <alignment horizontal="center" vertical="center"/>
    </xf>
    <xf numFmtId="177" fontId="0" fillId="4" borderId="38" xfId="0" applyNumberFormat="1" applyFill="1" applyBorder="1" applyAlignment="1">
      <alignment horizontal="center" vertical="center"/>
    </xf>
    <xf numFmtId="177" fontId="0" fillId="4" borderId="39" xfId="0" applyNumberFormat="1" applyFill="1" applyBorder="1" applyAlignment="1">
      <alignment horizontal="center" vertical="center"/>
    </xf>
    <xf numFmtId="177" fontId="0" fillId="4" borderId="40" xfId="0" applyNumberFormat="1" applyFill="1" applyBorder="1" applyAlignment="1">
      <alignment horizontal="center" vertical="center"/>
    </xf>
    <xf numFmtId="177" fontId="0" fillId="4" borderId="41" xfId="0" applyNumberFormat="1" applyFill="1" applyBorder="1" applyAlignment="1">
      <alignment horizontal="center" vertical="center"/>
    </xf>
    <xf numFmtId="177" fontId="0" fillId="4" borderId="42" xfId="0" applyNumberFormat="1" applyFill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0" borderId="46" xfId="0" applyBorder="1">
      <alignment vertical="center"/>
    </xf>
    <xf numFmtId="0" fontId="0" fillId="0" borderId="0" xfId="0" applyAlignment="1">
      <alignment vertical="center" wrapText="1"/>
    </xf>
    <xf numFmtId="0" fontId="4" fillId="5" borderId="40" xfId="0" applyFont="1" applyFill="1" applyBorder="1" applyAlignment="1">
      <alignment horizontal="center" vertical="center"/>
    </xf>
    <xf numFmtId="0" fontId="4" fillId="5" borderId="41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4" borderId="37" xfId="0" applyFont="1" applyFill="1" applyBorder="1" applyAlignment="1">
      <alignment horizontal="center" vertical="center"/>
    </xf>
    <xf numFmtId="0" fontId="4" fillId="4" borderId="42" xfId="0" applyFont="1" applyFill="1" applyBorder="1" applyAlignment="1">
      <alignment horizontal="center" vertical="center"/>
    </xf>
    <xf numFmtId="10" fontId="0" fillId="4" borderId="44" xfId="0" applyNumberFormat="1" applyFill="1" applyBorder="1" applyAlignment="1">
      <alignment horizontal="center" vertical="center"/>
    </xf>
    <xf numFmtId="10" fontId="0" fillId="4" borderId="45" xfId="0" applyNumberForma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5" borderId="53" xfId="0" applyFont="1" applyFill="1" applyBorder="1" applyAlignment="1">
      <alignment horizontal="center" vertical="center" wrapText="1"/>
    </xf>
    <xf numFmtId="0" fontId="4" fillId="5" borderId="58" xfId="0" applyFont="1" applyFill="1" applyBorder="1" applyAlignment="1">
      <alignment horizontal="center" vertical="center"/>
    </xf>
    <xf numFmtId="0" fontId="1" fillId="5" borderId="74" xfId="0" applyFont="1" applyFill="1" applyBorder="1" applyAlignment="1">
      <alignment horizontal="center" vertical="center"/>
    </xf>
    <xf numFmtId="0" fontId="1" fillId="5" borderId="72" xfId="0" applyFont="1" applyFill="1" applyBorder="1" applyAlignment="1">
      <alignment horizontal="center" vertical="center" wrapText="1"/>
    </xf>
    <xf numFmtId="180" fontId="0" fillId="4" borderId="76" xfId="0" applyNumberFormat="1" applyFill="1" applyBorder="1" applyAlignment="1">
      <alignment horizontal="center" vertical="center"/>
    </xf>
    <xf numFmtId="0" fontId="1" fillId="5" borderId="77" xfId="0" applyFont="1" applyFill="1" applyBorder="1" applyAlignment="1">
      <alignment horizontal="center" vertical="center"/>
    </xf>
    <xf numFmtId="0" fontId="1" fillId="5" borderId="77" xfId="0" applyFont="1" applyFill="1" applyBorder="1" applyAlignment="1">
      <alignment horizontal="center" vertical="center" wrapText="1"/>
    </xf>
    <xf numFmtId="0" fontId="1" fillId="5" borderId="78" xfId="0" applyFont="1" applyFill="1" applyBorder="1" applyAlignment="1">
      <alignment horizontal="center" vertical="center"/>
    </xf>
    <xf numFmtId="180" fontId="0" fillId="7" borderId="79" xfId="0" applyNumberFormat="1" applyFill="1" applyBorder="1" applyAlignment="1">
      <alignment horizontal="center" vertical="center"/>
    </xf>
    <xf numFmtId="0" fontId="0" fillId="4" borderId="79" xfId="0" applyFill="1" applyBorder="1" applyAlignment="1">
      <alignment horizontal="center" vertical="center"/>
    </xf>
    <xf numFmtId="10" fontId="0" fillId="4" borderId="80" xfId="0" applyNumberFormat="1" applyFill="1" applyBorder="1" applyAlignment="1">
      <alignment horizontal="center" vertical="center" wrapText="1"/>
    </xf>
    <xf numFmtId="179" fontId="0" fillId="4" borderId="81" xfId="0" applyNumberFormat="1" applyFill="1" applyBorder="1" applyAlignment="1">
      <alignment horizontal="center" vertical="center"/>
    </xf>
    <xf numFmtId="179" fontId="0" fillId="4" borderId="79" xfId="0" applyNumberFormat="1" applyFill="1" applyBorder="1" applyAlignment="1">
      <alignment horizontal="center" vertical="center"/>
    </xf>
    <xf numFmtId="179" fontId="0" fillId="4" borderId="82" xfId="0" applyNumberFormat="1" applyFill="1" applyBorder="1" applyAlignment="1">
      <alignment horizontal="center" vertical="center"/>
    </xf>
    <xf numFmtId="0" fontId="0" fillId="4" borderId="69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85" xfId="0" applyFill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0" fontId="0" fillId="4" borderId="90" xfId="0" applyFill="1" applyBorder="1" applyAlignment="1">
      <alignment horizontal="center" vertical="center"/>
    </xf>
    <xf numFmtId="0" fontId="0" fillId="4" borderId="91" xfId="0" applyFill="1" applyBorder="1" applyAlignment="1">
      <alignment horizontal="center" vertical="center"/>
    </xf>
    <xf numFmtId="0" fontId="0" fillId="0" borderId="47" xfId="0" applyBorder="1">
      <alignment vertical="center"/>
    </xf>
    <xf numFmtId="0" fontId="1" fillId="5" borderId="92" xfId="0" applyFont="1" applyFill="1" applyBorder="1" applyAlignment="1">
      <alignment horizontal="center" vertical="center" wrapText="1"/>
    </xf>
    <xf numFmtId="0" fontId="1" fillId="5" borderId="92" xfId="0" applyFont="1" applyFill="1" applyBorder="1" applyAlignment="1">
      <alignment horizontal="center" vertical="center"/>
    </xf>
    <xf numFmtId="0" fontId="1" fillId="5" borderId="93" xfId="0" applyFont="1" applyFill="1" applyBorder="1" applyAlignment="1">
      <alignment horizontal="center" vertical="center"/>
    </xf>
    <xf numFmtId="0" fontId="4" fillId="5" borderId="94" xfId="0" applyFont="1" applyFill="1" applyBorder="1" applyAlignment="1">
      <alignment horizontal="center" vertical="center"/>
    </xf>
    <xf numFmtId="0" fontId="0" fillId="4" borderId="51" xfId="0" applyFill="1" applyBorder="1" applyAlignment="1">
      <alignment horizontal="center" vertical="center" wrapText="1"/>
    </xf>
    <xf numFmtId="180" fontId="0" fillId="4" borderId="51" xfId="0" applyNumberFormat="1" applyFill="1" applyBorder="1" applyAlignment="1">
      <alignment horizontal="center" vertical="center"/>
    </xf>
    <xf numFmtId="180" fontId="0" fillId="4" borderId="51" xfId="0" applyNumberFormat="1" applyFill="1" applyBorder="1" applyAlignment="1">
      <alignment horizontal="center" vertical="center" wrapText="1"/>
    </xf>
    <xf numFmtId="180" fontId="0" fillId="4" borderId="52" xfId="0" applyNumberFormat="1" applyFill="1" applyBorder="1" applyAlignment="1">
      <alignment horizontal="center" vertical="center"/>
    </xf>
    <xf numFmtId="0" fontId="0" fillId="4" borderId="41" xfId="0" applyFill="1" applyBorder="1" applyAlignment="1">
      <alignment horizontal="center" vertical="center" wrapText="1"/>
    </xf>
    <xf numFmtId="180" fontId="0" fillId="4" borderId="41" xfId="0" applyNumberFormat="1" applyFill="1" applyBorder="1" applyAlignment="1">
      <alignment horizontal="center" vertical="center"/>
    </xf>
    <xf numFmtId="180" fontId="0" fillId="4" borderId="41" xfId="0" applyNumberFormat="1" applyFill="1" applyBorder="1" applyAlignment="1">
      <alignment horizontal="center" vertical="center" wrapText="1"/>
    </xf>
    <xf numFmtId="180" fontId="0" fillId="4" borderId="43" xfId="0" applyNumberFormat="1" applyFill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181" fontId="7" fillId="0" borderId="0" xfId="0" applyNumberFormat="1" applyFont="1" applyAlignment="1">
      <alignment horizontal="center" vertical="top"/>
    </xf>
    <xf numFmtId="180" fontId="0" fillId="4" borderId="14" xfId="0" applyNumberForma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2" fillId="4" borderId="57" xfId="0" applyFont="1" applyFill="1" applyBorder="1">
      <alignment vertical="center"/>
    </xf>
    <xf numFmtId="0" fontId="2" fillId="4" borderId="56" xfId="0" applyFont="1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8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82" fontId="0" fillId="0" borderId="0" xfId="0" applyNumberFormat="1" applyAlignment="1">
      <alignment horizontal="left" vertical="center"/>
    </xf>
    <xf numFmtId="41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80" fontId="0" fillId="0" borderId="96" xfId="0" applyNumberFormat="1" applyBorder="1" applyAlignment="1">
      <alignment horizontal="center" vertical="center"/>
    </xf>
    <xf numFmtId="0" fontId="2" fillId="0" borderId="0" xfId="0" applyFont="1">
      <alignment vertical="center"/>
    </xf>
    <xf numFmtId="180" fontId="0" fillId="4" borderId="3" xfId="0" applyNumberFormat="1" applyFill="1" applyBorder="1" applyAlignment="1">
      <alignment horizontal="center" vertical="center"/>
    </xf>
    <xf numFmtId="180" fontId="0" fillId="4" borderId="98" xfId="0" applyNumberFormat="1" applyFill="1" applyBorder="1" applyAlignment="1">
      <alignment horizontal="center" vertical="center"/>
    </xf>
    <xf numFmtId="180" fontId="0" fillId="4" borderId="99" xfId="0" applyNumberFormat="1" applyFill="1" applyBorder="1" applyAlignment="1">
      <alignment horizontal="center" vertical="center"/>
    </xf>
    <xf numFmtId="179" fontId="0" fillId="4" borderId="100" xfId="0" applyNumberFormat="1" applyFill="1" applyBorder="1" applyAlignment="1">
      <alignment horizontal="center" vertical="center"/>
    </xf>
    <xf numFmtId="180" fontId="0" fillId="4" borderId="21" xfId="0" applyNumberForma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0" fillId="0" borderId="0" xfId="0" quotePrefix="1" applyAlignment="1">
      <alignment horizontal="left" vertical="center"/>
    </xf>
    <xf numFmtId="10" fontId="0" fillId="4" borderId="109" xfId="0" applyNumberFormat="1" applyFill="1" applyBorder="1" applyAlignment="1">
      <alignment horizontal="center" vertical="center"/>
    </xf>
    <xf numFmtId="10" fontId="0" fillId="4" borderId="110" xfId="0" applyNumberFormat="1" applyFill="1" applyBorder="1" applyAlignment="1">
      <alignment horizontal="center" vertical="center"/>
    </xf>
    <xf numFmtId="10" fontId="0" fillId="4" borderId="111" xfId="0" applyNumberForma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/>
    </xf>
    <xf numFmtId="0" fontId="4" fillId="8" borderId="41" xfId="0" applyFont="1" applyFill="1" applyBorder="1" applyAlignment="1">
      <alignment horizontal="center" vertical="center" wrapText="1"/>
    </xf>
    <xf numFmtId="0" fontId="4" fillId="8" borderId="43" xfId="0" applyFont="1" applyFill="1" applyBorder="1" applyAlignment="1">
      <alignment horizontal="center" vertical="center"/>
    </xf>
    <xf numFmtId="0" fontId="0" fillId="0" borderId="117" xfId="0" applyBorder="1" applyAlignment="1">
      <alignment horizontal="center" vertical="center"/>
    </xf>
    <xf numFmtId="0" fontId="4" fillId="9" borderId="119" xfId="0" applyFont="1" applyFill="1" applyBorder="1" applyAlignment="1">
      <alignment horizontal="center" vertical="center"/>
    </xf>
    <xf numFmtId="0" fontId="4" fillId="8" borderId="38" xfId="0" applyFont="1" applyFill="1" applyBorder="1" applyAlignment="1">
      <alignment horizontal="center" vertical="center"/>
    </xf>
    <xf numFmtId="180" fontId="0" fillId="4" borderId="37" xfId="0" applyNumberFormat="1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 wrapText="1"/>
    </xf>
    <xf numFmtId="10" fontId="0" fillId="4" borderId="40" xfId="0" applyNumberFormat="1" applyFill="1" applyBorder="1" applyAlignment="1">
      <alignment horizontal="center" vertical="center" wrapText="1"/>
    </xf>
    <xf numFmtId="10" fontId="0" fillId="4" borderId="42" xfId="0" applyNumberFormat="1" applyFill="1" applyBorder="1" applyAlignment="1">
      <alignment horizontal="center" vertical="center" wrapText="1"/>
    </xf>
    <xf numFmtId="10" fontId="0" fillId="4" borderId="45" xfId="0" applyNumberFormat="1" applyFill="1" applyBorder="1" applyAlignment="1">
      <alignment horizontal="center" vertical="center" wrapText="1"/>
    </xf>
    <xf numFmtId="0" fontId="1" fillId="8" borderId="23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14" xfId="0" applyFont="1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124" xfId="0" applyBorder="1" applyAlignment="1">
      <alignment horizontal="center" vertical="center"/>
    </xf>
    <xf numFmtId="183" fontId="0" fillId="0" borderId="121" xfId="0" applyNumberFormat="1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 wrapText="1"/>
    </xf>
    <xf numFmtId="180" fontId="0" fillId="4" borderId="39" xfId="0" applyNumberFormat="1" applyFill="1" applyBorder="1" applyAlignment="1">
      <alignment horizontal="center" vertical="center" wrapText="1"/>
    </xf>
    <xf numFmtId="0" fontId="1" fillId="5" borderId="41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/>
    </xf>
    <xf numFmtId="180" fontId="0" fillId="7" borderId="44" xfId="0" applyNumberForma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0" fillId="0" borderId="128" xfId="0" applyBorder="1" applyAlignment="1">
      <alignment horizontal="left" vertical="center"/>
    </xf>
    <xf numFmtId="0" fontId="0" fillId="0" borderId="129" xfId="0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8" borderId="39" xfId="0" applyFont="1" applyFill="1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46" xfId="0" applyBorder="1" applyAlignment="1">
      <alignment horizontal="left" vertical="center"/>
    </xf>
    <xf numFmtId="0" fontId="4" fillId="8" borderId="143" xfId="0" applyFont="1" applyFill="1" applyBorder="1" applyAlignment="1">
      <alignment horizontal="center" vertical="center"/>
    </xf>
    <xf numFmtId="0" fontId="4" fillId="9" borderId="111" xfId="0" applyFont="1" applyFill="1" applyBorder="1" applyAlignment="1">
      <alignment horizontal="center" vertical="center"/>
    </xf>
    <xf numFmtId="0" fontId="4" fillId="9" borderId="110" xfId="0" applyFont="1" applyFill="1" applyBorder="1" applyAlignment="1">
      <alignment horizontal="center" vertical="center"/>
    </xf>
    <xf numFmtId="0" fontId="4" fillId="8" borderId="142" xfId="0" applyFont="1" applyFill="1" applyBorder="1" applyAlignment="1">
      <alignment horizontal="center" vertical="center"/>
    </xf>
    <xf numFmtId="184" fontId="0" fillId="4" borderId="148" xfId="0" applyNumberFormat="1" applyFill="1" applyBorder="1" applyAlignment="1">
      <alignment horizontal="center" vertical="center"/>
    </xf>
    <xf numFmtId="184" fontId="0" fillId="4" borderId="116" xfId="0" applyNumberFormat="1" applyFill="1" applyBorder="1" applyAlignment="1">
      <alignment horizontal="center" vertical="center"/>
    </xf>
    <xf numFmtId="184" fontId="0" fillId="4" borderId="147" xfId="0" applyNumberFormat="1" applyFill="1" applyBorder="1" applyAlignment="1">
      <alignment horizontal="center" vertical="center"/>
    </xf>
    <xf numFmtId="184" fontId="0" fillId="4" borderId="61" xfId="0" applyNumberFormat="1" applyFill="1" applyBorder="1" applyAlignment="1">
      <alignment horizontal="center" vertical="center"/>
    </xf>
    <xf numFmtId="0" fontId="0" fillId="4" borderId="150" xfId="0" applyFill="1" applyBorder="1" applyAlignment="1">
      <alignment horizontal="center" vertical="center"/>
    </xf>
    <xf numFmtId="0" fontId="0" fillId="4" borderId="109" xfId="0" applyFill="1" applyBorder="1" applyAlignment="1">
      <alignment horizontal="center" vertical="center"/>
    </xf>
    <xf numFmtId="184" fontId="0" fillId="4" borderId="42" xfId="0" applyNumberFormat="1" applyFill="1" applyBorder="1" applyAlignment="1">
      <alignment horizontal="center" vertical="center"/>
    </xf>
    <xf numFmtId="184" fontId="0" fillId="4" borderId="45" xfId="0" applyNumberFormat="1" applyFill="1" applyBorder="1" applyAlignment="1">
      <alignment horizontal="center" vertical="center"/>
    </xf>
    <xf numFmtId="184" fontId="0" fillId="4" borderId="137" xfId="0" applyNumberFormat="1" applyFill="1" applyBorder="1" applyAlignment="1">
      <alignment horizontal="center" vertical="center"/>
    </xf>
    <xf numFmtId="184" fontId="0" fillId="4" borderId="149" xfId="0" applyNumberFormat="1" applyFill="1" applyBorder="1" applyAlignment="1">
      <alignment horizontal="center" vertical="center"/>
    </xf>
    <xf numFmtId="185" fontId="6" fillId="4" borderId="111" xfId="0" applyNumberFormat="1" applyFont="1" applyFill="1" applyBorder="1" applyAlignment="1">
      <alignment horizontal="center" vertical="center"/>
    </xf>
    <xf numFmtId="184" fontId="0" fillId="4" borderId="60" xfId="0" applyNumberFormat="1" applyFill="1" applyBorder="1" applyAlignment="1">
      <alignment horizontal="center" vertical="center"/>
    </xf>
    <xf numFmtId="184" fontId="0" fillId="4" borderId="151" xfId="0" applyNumberFormat="1" applyFill="1" applyBorder="1" applyAlignment="1">
      <alignment horizontal="center" vertical="center"/>
    </xf>
    <xf numFmtId="184" fontId="0" fillId="4" borderId="152" xfId="0" applyNumberFormat="1" applyFill="1" applyBorder="1" applyAlignment="1">
      <alignment horizontal="center" vertical="center"/>
    </xf>
    <xf numFmtId="0" fontId="0" fillId="0" borderId="154" xfId="0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8" borderId="142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/>
    </xf>
    <xf numFmtId="0" fontId="1" fillId="8" borderId="156" xfId="0" applyFont="1" applyFill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0" fontId="1" fillId="8" borderId="159" xfId="0" applyFont="1" applyFill="1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183" fontId="0" fillId="0" borderId="42" xfId="0" applyNumberFormat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112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 wrapText="1"/>
      <protection locked="0"/>
    </xf>
    <xf numFmtId="0" fontId="0" fillId="0" borderId="113" xfId="0" applyBorder="1" applyAlignment="1" applyProtection="1">
      <alignment horizontal="center" vertical="center"/>
      <protection locked="0"/>
    </xf>
    <xf numFmtId="0" fontId="0" fillId="0" borderId="114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183" fontId="0" fillId="0" borderId="16" xfId="0" applyNumberFormat="1" applyBorder="1" applyAlignment="1" applyProtection="1">
      <alignment horizontal="center" vertical="center"/>
      <protection locked="0"/>
    </xf>
    <xf numFmtId="0" fontId="0" fillId="4" borderId="115" xfId="0" applyFill="1" applyBorder="1" applyAlignment="1" applyProtection="1">
      <alignment horizontal="center" vertical="center"/>
      <protection locked="0"/>
    </xf>
    <xf numFmtId="0" fontId="0" fillId="0" borderId="116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4" borderId="117" xfId="0" applyFill="1" applyBorder="1" applyAlignment="1" applyProtection="1">
      <alignment horizontal="center" vertical="center"/>
      <protection locked="0"/>
    </xf>
    <xf numFmtId="0" fontId="0" fillId="0" borderId="140" xfId="0" applyBorder="1" applyAlignment="1" applyProtection="1">
      <alignment horizontal="center" vertical="center"/>
      <protection locked="0"/>
    </xf>
    <xf numFmtId="0" fontId="0" fillId="0" borderId="136" xfId="0" applyBorder="1" applyAlignment="1" applyProtection="1">
      <alignment horizontal="center" vertical="center"/>
      <protection locked="0"/>
    </xf>
    <xf numFmtId="0" fontId="0" fillId="4" borderId="37" xfId="0" applyFill="1" applyBorder="1" applyAlignment="1">
      <alignment horizontal="center" vertical="center"/>
    </xf>
    <xf numFmtId="10" fontId="0" fillId="4" borderId="42" xfId="0" applyNumberForma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0" fontId="1" fillId="9" borderId="29" xfId="0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0" fontId="1" fillId="9" borderId="10" xfId="0" applyFont="1" applyFill="1" applyBorder="1" applyAlignment="1">
      <alignment horizontal="center" vertical="center"/>
    </xf>
    <xf numFmtId="0" fontId="2" fillId="5" borderId="64" xfId="0" applyFont="1" applyFill="1" applyBorder="1" applyAlignment="1">
      <alignment horizontal="center" vertical="center" wrapText="1"/>
    </xf>
    <xf numFmtId="0" fontId="2" fillId="5" borderId="55" xfId="0" applyFont="1" applyFill="1" applyBorder="1" applyAlignment="1">
      <alignment horizontal="center" vertical="center" wrapText="1"/>
    </xf>
    <xf numFmtId="0" fontId="2" fillId="5" borderId="64" xfId="0" applyFont="1" applyFill="1" applyBorder="1" applyAlignment="1">
      <alignment horizontal="center" vertical="center"/>
    </xf>
    <xf numFmtId="0" fontId="2" fillId="5" borderId="55" xfId="0" applyFont="1" applyFill="1" applyBorder="1" applyAlignment="1">
      <alignment horizontal="center" vertical="center"/>
    </xf>
    <xf numFmtId="0" fontId="2" fillId="5" borderId="65" xfId="0" applyFont="1" applyFill="1" applyBorder="1" applyAlignment="1">
      <alignment horizontal="center" vertical="center"/>
    </xf>
    <xf numFmtId="0" fontId="2" fillId="5" borderId="54" xfId="0" applyFont="1" applyFill="1" applyBorder="1" applyAlignment="1">
      <alignment horizontal="center" vertical="center"/>
    </xf>
    <xf numFmtId="0" fontId="4" fillId="8" borderId="133" xfId="0" applyFont="1" applyFill="1" applyBorder="1" applyAlignment="1">
      <alignment horizontal="center" vertical="center"/>
    </xf>
    <xf numFmtId="0" fontId="4" fillId="8" borderId="13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8" borderId="29" xfId="0" applyFont="1" applyFill="1" applyBorder="1" applyAlignment="1">
      <alignment horizontal="center" vertical="center"/>
    </xf>
    <xf numFmtId="0" fontId="1" fillId="8" borderId="33" xfId="0" applyFont="1" applyFill="1" applyBorder="1" applyAlignment="1">
      <alignment horizontal="center" vertical="center"/>
    </xf>
    <xf numFmtId="0" fontId="4" fillId="8" borderId="101" xfId="0" applyFont="1" applyFill="1" applyBorder="1" applyAlignment="1">
      <alignment horizontal="center" vertical="center"/>
    </xf>
    <xf numFmtId="0" fontId="4" fillId="8" borderId="102" xfId="0" applyFont="1" applyFill="1" applyBorder="1" applyAlignment="1">
      <alignment horizontal="center" vertical="center"/>
    </xf>
    <xf numFmtId="0" fontId="0" fillId="0" borderId="42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181" fontId="7" fillId="0" borderId="95" xfId="0" applyNumberFormat="1" applyFont="1" applyBorder="1" applyAlignment="1" applyProtection="1">
      <alignment horizontal="center" vertical="top"/>
      <protection locked="0"/>
    </xf>
    <xf numFmtId="0" fontId="4" fillId="8" borderId="92" xfId="0" applyFont="1" applyFill="1" applyBorder="1" applyAlignment="1">
      <alignment horizontal="center" vertical="center"/>
    </xf>
    <xf numFmtId="0" fontId="4" fillId="8" borderId="51" xfId="0" applyFont="1" applyFill="1" applyBorder="1" applyAlignment="1">
      <alignment horizontal="center" vertical="center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9" borderId="118" xfId="0" applyFont="1" applyFill="1" applyBorder="1" applyAlignment="1">
      <alignment horizontal="center" vertical="center"/>
    </xf>
    <xf numFmtId="0" fontId="4" fillId="9" borderId="119" xfId="0" applyFont="1" applyFill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2" fillId="5" borderId="63" xfId="0" applyFont="1" applyFill="1" applyBorder="1" applyAlignment="1">
      <alignment horizontal="center" vertical="center"/>
    </xf>
    <xf numFmtId="0" fontId="2" fillId="5" borderId="7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4" borderId="142" xfId="0" applyNumberFormat="1" applyFill="1" applyBorder="1" applyAlignment="1">
      <alignment horizontal="center" vertical="center"/>
    </xf>
    <xf numFmtId="180" fontId="0" fillId="4" borderId="143" xfId="0" applyNumberFormat="1" applyFill="1" applyBorder="1" applyAlignment="1">
      <alignment horizontal="center" vertical="center"/>
    </xf>
    <xf numFmtId="0" fontId="4" fillId="9" borderId="130" xfId="0" applyFont="1" applyFill="1" applyBorder="1" applyAlignment="1">
      <alignment horizontal="center" vertical="center"/>
    </xf>
    <xf numFmtId="0" fontId="4" fillId="9" borderId="131" xfId="0" applyFont="1" applyFill="1" applyBorder="1" applyAlignment="1">
      <alignment horizontal="center" vertical="center"/>
    </xf>
    <xf numFmtId="0" fontId="4" fillId="9" borderId="118" xfId="0" applyFont="1" applyFill="1" applyBorder="1" applyAlignment="1">
      <alignment horizontal="center" vertical="center" wrapText="1"/>
    </xf>
    <xf numFmtId="0" fontId="4" fillId="9" borderId="130" xfId="0" applyFont="1" applyFill="1" applyBorder="1" applyAlignment="1">
      <alignment horizontal="center" vertical="center" wrapText="1"/>
    </xf>
    <xf numFmtId="0" fontId="4" fillId="9" borderId="131" xfId="0" applyFont="1" applyFill="1" applyBorder="1" applyAlignment="1">
      <alignment horizontal="center" vertical="center" wrapText="1"/>
    </xf>
    <xf numFmtId="0" fontId="4" fillId="8" borderId="134" xfId="0" applyFont="1" applyFill="1" applyBorder="1" applyAlignment="1">
      <alignment horizontal="center" vertical="center"/>
    </xf>
    <xf numFmtId="0" fontId="4" fillId="8" borderId="13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8" borderId="138" xfId="0" applyFont="1" applyFill="1" applyBorder="1" applyAlignment="1">
      <alignment horizontal="center" vertical="center"/>
    </xf>
    <xf numFmtId="0" fontId="4" fillId="8" borderId="139" xfId="0" applyFont="1" applyFill="1" applyBorder="1" applyAlignment="1">
      <alignment horizontal="center" vertical="center"/>
    </xf>
    <xf numFmtId="0" fontId="1" fillId="5" borderId="144" xfId="0" applyFont="1" applyFill="1" applyBorder="1" applyAlignment="1">
      <alignment horizontal="center" vertical="center"/>
    </xf>
    <xf numFmtId="0" fontId="1" fillId="5" borderId="145" xfId="0" applyFont="1" applyFill="1" applyBorder="1" applyAlignment="1">
      <alignment horizontal="center" vertical="center"/>
    </xf>
    <xf numFmtId="0" fontId="0" fillId="0" borderId="9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6" fillId="9" borderId="109" xfId="0" applyFont="1" applyFill="1" applyBorder="1" applyAlignment="1">
      <alignment horizontal="center" vertical="center"/>
    </xf>
    <xf numFmtId="0" fontId="6" fillId="9" borderId="110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 wrapText="1"/>
    </xf>
    <xf numFmtId="0" fontId="4" fillId="9" borderId="41" xfId="0" applyFont="1" applyFill="1" applyBorder="1" applyAlignment="1">
      <alignment horizontal="center" vertical="center"/>
    </xf>
    <xf numFmtId="0" fontId="4" fillId="9" borderId="43" xfId="0" applyFont="1" applyFill="1" applyBorder="1" applyAlignment="1">
      <alignment horizontal="center" vertical="center"/>
    </xf>
    <xf numFmtId="0" fontId="4" fillId="9" borderId="38" xfId="0" applyFont="1" applyFill="1" applyBorder="1" applyAlignment="1">
      <alignment horizontal="center" vertical="center"/>
    </xf>
    <xf numFmtId="0" fontId="4" fillId="9" borderId="145" xfId="0" applyFont="1" applyFill="1" applyBorder="1" applyAlignment="1">
      <alignment horizontal="center" vertical="center"/>
    </xf>
    <xf numFmtId="0" fontId="4" fillId="9" borderId="144" xfId="0" applyFont="1" applyFill="1" applyBorder="1" applyAlignment="1">
      <alignment horizontal="center" vertical="center"/>
    </xf>
    <xf numFmtId="0" fontId="2" fillId="5" borderId="86" xfId="0" applyFont="1" applyFill="1" applyBorder="1" applyAlignment="1">
      <alignment horizontal="center" vertical="center"/>
    </xf>
    <xf numFmtId="0" fontId="2" fillId="5" borderId="50" xfId="0" applyFont="1" applyFill="1" applyBorder="1" applyAlignment="1">
      <alignment horizontal="center" vertical="center"/>
    </xf>
    <xf numFmtId="0" fontId="2" fillId="5" borderId="87" xfId="0" applyFont="1" applyFill="1" applyBorder="1" applyAlignment="1">
      <alignment horizontal="center" vertical="center"/>
    </xf>
    <xf numFmtId="0" fontId="2" fillId="5" borderId="72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1" fillId="6" borderId="84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/>
    </xf>
    <xf numFmtId="0" fontId="1" fillId="6" borderId="7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9" xfId="0" applyFont="1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1" fillId="5" borderId="71" xfId="0" applyFont="1" applyFill="1" applyBorder="1" applyAlignment="1">
      <alignment horizontal="center" vertical="center"/>
    </xf>
    <xf numFmtId="0" fontId="1" fillId="5" borderId="73" xfId="0" applyFont="1" applyFill="1" applyBorder="1" applyAlignment="1">
      <alignment horizontal="center" vertical="center"/>
    </xf>
    <xf numFmtId="0" fontId="1" fillId="5" borderId="75" xfId="0" applyFont="1" applyFill="1" applyBorder="1" applyAlignment="1">
      <alignment horizontal="center" vertical="center"/>
    </xf>
    <xf numFmtId="0" fontId="4" fillId="8" borderId="125" xfId="0" applyFont="1" applyFill="1" applyBorder="1" applyAlignment="1">
      <alignment horizontal="center" vertical="center"/>
    </xf>
    <xf numFmtId="0" fontId="4" fillId="8" borderId="126" xfId="0" applyFont="1" applyFill="1" applyBorder="1" applyAlignment="1">
      <alignment horizontal="center" vertical="center"/>
    </xf>
    <xf numFmtId="178" fontId="0" fillId="4" borderId="18" xfId="0" applyNumberFormat="1" applyFill="1" applyBorder="1" applyAlignment="1">
      <alignment horizontal="center" vertical="center"/>
    </xf>
    <xf numFmtId="178" fontId="0" fillId="4" borderId="19" xfId="0" applyNumberFormat="1" applyFill="1" applyBorder="1" applyAlignment="1">
      <alignment horizontal="center" vertical="center"/>
    </xf>
    <xf numFmtId="178" fontId="0" fillId="4" borderId="28" xfId="0" applyNumberFormat="1" applyFill="1" applyBorder="1" applyAlignment="1">
      <alignment horizontal="center" vertical="center"/>
    </xf>
    <xf numFmtId="0" fontId="0" fillId="0" borderId="89" xfId="0" applyBorder="1" applyAlignment="1">
      <alignment horizontal="center" vertical="center"/>
    </xf>
    <xf numFmtId="180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0" fontId="0" fillId="4" borderId="16" xfId="0" applyNumberFormat="1" applyFill="1" applyBorder="1" applyAlignment="1">
      <alignment horizontal="center" vertical="center"/>
    </xf>
    <xf numFmtId="0" fontId="2" fillId="5" borderId="103" xfId="0" applyFont="1" applyFill="1" applyBorder="1" applyAlignment="1">
      <alignment horizontal="center" vertical="center"/>
    </xf>
    <xf numFmtId="0" fontId="2" fillId="5" borderId="104" xfId="0" applyFont="1" applyFill="1" applyBorder="1" applyAlignment="1">
      <alignment horizontal="center" vertical="center"/>
    </xf>
    <xf numFmtId="0" fontId="2" fillId="5" borderId="105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horizontal="center" vertical="center"/>
    </xf>
    <xf numFmtId="0" fontId="2" fillId="5" borderId="66" xfId="0" applyFont="1" applyFill="1" applyBorder="1" applyAlignment="1">
      <alignment horizontal="center" vertical="center"/>
    </xf>
    <xf numFmtId="0" fontId="2" fillId="5" borderId="67" xfId="0" applyFont="1" applyFill="1" applyBorder="1" applyAlignment="1">
      <alignment horizontal="center" vertical="center"/>
    </xf>
    <xf numFmtId="0" fontId="2" fillId="5" borderId="68" xfId="0" applyFont="1" applyFill="1" applyBorder="1" applyAlignment="1">
      <alignment horizontal="center" vertical="center"/>
    </xf>
    <xf numFmtId="0" fontId="2" fillId="5" borderId="69" xfId="0" applyFont="1" applyFill="1" applyBorder="1" applyAlignment="1">
      <alignment horizontal="center" vertical="center"/>
    </xf>
    <xf numFmtId="0" fontId="2" fillId="5" borderId="97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1" fillId="8" borderId="114" xfId="0" applyFont="1" applyFill="1" applyBorder="1" applyAlignment="1">
      <alignment horizontal="center" vertical="center" wrapText="1"/>
    </xf>
    <xf numFmtId="0" fontId="4" fillId="8" borderId="120" xfId="0" applyFont="1" applyFill="1" applyBorder="1" applyAlignment="1">
      <alignment horizontal="center" vertical="center"/>
    </xf>
    <xf numFmtId="0" fontId="4" fillId="8" borderId="141" xfId="0" applyFont="1" applyFill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5" borderId="61" xfId="0" applyFont="1" applyFill="1" applyBorder="1" applyAlignment="1">
      <alignment horizontal="center" vertical="center"/>
    </xf>
    <xf numFmtId="0" fontId="4" fillId="5" borderId="59" xfId="0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/>
    </xf>
    <xf numFmtId="0" fontId="4" fillId="5" borderId="58" xfId="0" applyFont="1" applyFill="1" applyBorder="1" applyAlignment="1">
      <alignment horizontal="center" vertical="center"/>
    </xf>
    <xf numFmtId="0" fontId="4" fillId="5" borderId="106" xfId="0" applyFont="1" applyFill="1" applyBorder="1" applyAlignment="1">
      <alignment horizontal="center" vertical="center"/>
    </xf>
    <xf numFmtId="0" fontId="4" fillId="5" borderId="107" xfId="0" applyFont="1" applyFill="1" applyBorder="1" applyAlignment="1">
      <alignment horizontal="center" vertical="center"/>
    </xf>
    <xf numFmtId="0" fontId="4" fillId="5" borderId="108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4" fillId="8" borderId="155" xfId="0" applyFont="1" applyFill="1" applyBorder="1" applyAlignment="1">
      <alignment horizontal="center" vertical="center"/>
    </xf>
    <xf numFmtId="0" fontId="4" fillId="8" borderId="156" xfId="0" applyFont="1" applyFill="1" applyBorder="1" applyAlignment="1">
      <alignment horizontal="center" vertical="center"/>
    </xf>
    <xf numFmtId="0" fontId="1" fillId="9" borderId="155" xfId="0" applyFont="1" applyFill="1" applyBorder="1" applyAlignment="1">
      <alignment horizontal="center" vertical="center"/>
    </xf>
    <xf numFmtId="0" fontId="1" fillId="9" borderId="41" xfId="0" applyFont="1" applyFill="1" applyBorder="1" applyAlignment="1">
      <alignment horizontal="center" vertical="center"/>
    </xf>
    <xf numFmtId="0" fontId="1" fillId="9" borderId="15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9" borderId="38" xfId="0" applyFont="1" applyFill="1" applyBorder="1" applyAlignment="1">
      <alignment horizontal="center" vertical="center"/>
    </xf>
    <xf numFmtId="0" fontId="1" fillId="9" borderId="144" xfId="0" applyFont="1" applyFill="1" applyBorder="1" applyAlignment="1">
      <alignment horizontal="center" vertical="center"/>
    </xf>
    <xf numFmtId="0" fontId="1" fillId="8" borderId="155" xfId="0" applyFont="1" applyFill="1" applyBorder="1" applyAlignment="1">
      <alignment horizontal="center" vertical="center"/>
    </xf>
    <xf numFmtId="0" fontId="1" fillId="8" borderId="156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 vertical="center"/>
    </xf>
    <xf numFmtId="0" fontId="1" fillId="8" borderId="37" xfId="0" applyFont="1" applyFill="1" applyBorder="1" applyAlignment="1">
      <alignment horizontal="center" vertical="center"/>
    </xf>
    <xf numFmtId="0" fontId="1" fillId="8" borderId="158" xfId="0" applyFont="1" applyFill="1" applyBorder="1" applyAlignment="1">
      <alignment horizontal="center" vertical="center" wrapText="1"/>
    </xf>
    <xf numFmtId="0" fontId="1" fillId="8" borderId="159" xfId="0" applyFont="1" applyFill="1" applyBorder="1" applyAlignment="1">
      <alignment horizontal="center" vertical="center" wrapText="1"/>
    </xf>
    <xf numFmtId="0" fontId="4" fillId="8" borderId="41" xfId="0" applyFont="1" applyFill="1" applyBorder="1" applyAlignment="1">
      <alignment horizontal="center" vertical="center"/>
    </xf>
    <xf numFmtId="0" fontId="4" fillId="8" borderId="37" xfId="0" applyFont="1" applyFill="1" applyBorder="1" applyAlignment="1">
      <alignment horizontal="center" vertical="center"/>
    </xf>
    <xf numFmtId="0" fontId="4" fillId="8" borderId="158" xfId="0" applyFont="1" applyFill="1" applyBorder="1" applyAlignment="1">
      <alignment horizontal="center" vertical="center"/>
    </xf>
    <xf numFmtId="0" fontId="4" fillId="8" borderId="159" xfId="0" applyFont="1" applyFill="1" applyBorder="1" applyAlignment="1">
      <alignment horizontal="center" vertical="center"/>
    </xf>
    <xf numFmtId="0" fontId="4" fillId="8" borderId="131" xfId="0" applyFont="1" applyFill="1" applyBorder="1" applyAlignment="1">
      <alignment horizontal="center" vertical="center"/>
    </xf>
    <xf numFmtId="0" fontId="4" fillId="8" borderId="153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center" vertical="center"/>
    </xf>
    <xf numFmtId="0" fontId="2" fillId="5" borderId="84" xfId="0" applyFont="1" applyFill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8" fillId="0" borderId="95" xfId="0" applyFont="1" applyBorder="1" applyAlignment="1">
      <alignment horizontal="center" vertical="center"/>
    </xf>
    <xf numFmtId="0" fontId="0" fillId="0" borderId="16" xfId="0" applyNumberForma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0" fillId="0" borderId="10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0" fillId="0" borderId="161" xfId="0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269B8-C303-4037-9919-88B4D8A9CAD9}">
  <sheetPr codeName="Sheet1"/>
  <dimension ref="B1:W113"/>
  <sheetViews>
    <sheetView showGridLines="0" tabSelected="1" zoomScale="80" zoomScaleNormal="80" zoomScaleSheetLayoutView="100" workbookViewId="0">
      <selection activeCell="B1" sqref="B1:D1"/>
    </sheetView>
  </sheetViews>
  <sheetFormatPr defaultColWidth="8.875" defaultRowHeight="16.5" x14ac:dyDescent="0.3"/>
  <cols>
    <col min="1" max="1" width="3.625" customWidth="1"/>
    <col min="2" max="6" width="12.625" style="1" customWidth="1"/>
    <col min="7" max="7" width="8.875" style="1"/>
    <col min="8" max="8" width="12.625" customWidth="1"/>
    <col min="9" max="9" width="15.625" customWidth="1"/>
    <col min="10" max="11" width="10.625" customWidth="1"/>
    <col min="12" max="13" width="5.625" style="2" customWidth="1"/>
    <col min="14" max="18" width="12.625" style="1" customWidth="1"/>
    <col min="19" max="19" width="8.875" style="1"/>
    <col min="20" max="20" width="12.625" customWidth="1"/>
    <col min="21" max="21" width="15.625" customWidth="1"/>
    <col min="22" max="23" width="10.625" customWidth="1"/>
  </cols>
  <sheetData>
    <row r="1" spans="2:23" ht="33" customHeight="1" thickBot="1" x14ac:dyDescent="0.35">
      <c r="B1" s="370" t="s">
        <v>43</v>
      </c>
      <c r="C1" s="245"/>
      <c r="D1" s="245"/>
      <c r="E1" s="233" t="s">
        <v>151</v>
      </c>
      <c r="F1" s="233"/>
      <c r="H1" s="365" t="s">
        <v>150</v>
      </c>
      <c r="I1" s="365"/>
      <c r="J1" s="365"/>
      <c r="K1" s="365"/>
      <c r="L1" s="157"/>
      <c r="M1" s="158"/>
      <c r="N1" s="245" t="s">
        <v>145</v>
      </c>
      <c r="O1" s="245"/>
      <c r="P1" s="245"/>
      <c r="Q1" s="245"/>
      <c r="R1" s="245"/>
      <c r="T1" s="242"/>
      <c r="U1" s="242"/>
      <c r="V1" s="242"/>
      <c r="W1" s="242"/>
    </row>
    <row r="2" spans="2:23" ht="33" customHeight="1" thickBot="1" x14ac:dyDescent="0.35">
      <c r="B2" s="371" t="s">
        <v>149</v>
      </c>
      <c r="C2" s="371"/>
      <c r="D2" s="371"/>
      <c r="E2" s="234">
        <v>45899</v>
      </c>
      <c r="F2" s="234"/>
      <c r="H2" s="243" t="s">
        <v>15</v>
      </c>
      <c r="I2" s="214" t="s">
        <v>33</v>
      </c>
      <c r="J2" s="216" t="s">
        <v>34</v>
      </c>
      <c r="K2" s="218" t="s">
        <v>35</v>
      </c>
      <c r="L2" s="157"/>
      <c r="M2" s="158"/>
      <c r="N2" s="367" t="s">
        <v>146</v>
      </c>
      <c r="O2" s="367"/>
      <c r="P2" s="367"/>
      <c r="Q2" s="367"/>
      <c r="R2" s="367"/>
      <c r="T2" s="243" t="s">
        <v>15</v>
      </c>
      <c r="U2" s="214" t="s">
        <v>33</v>
      </c>
      <c r="V2" s="216" t="s">
        <v>34</v>
      </c>
      <c r="W2" s="218" t="s">
        <v>35</v>
      </c>
    </row>
    <row r="3" spans="2:23" ht="33" customHeight="1" thickBot="1" x14ac:dyDescent="0.35">
      <c r="B3" s="209" t="s">
        <v>2</v>
      </c>
      <c r="C3" s="21" t="s">
        <v>3</v>
      </c>
      <c r="D3" s="192">
        <v>7953</v>
      </c>
      <c r="E3" s="240" t="s">
        <v>133</v>
      </c>
      <c r="F3" s="241"/>
      <c r="H3" s="244"/>
      <c r="I3" s="215"/>
      <c r="J3" s="217"/>
      <c r="K3" s="219"/>
      <c r="L3" s="157"/>
      <c r="M3" s="158"/>
      <c r="N3" s="209" t="s">
        <v>2</v>
      </c>
      <c r="O3" s="21" t="s">
        <v>3</v>
      </c>
      <c r="P3" s="192">
        <v>0</v>
      </c>
      <c r="Q3" s="240" t="s">
        <v>133</v>
      </c>
      <c r="R3" s="241"/>
      <c r="T3" s="244"/>
      <c r="U3" s="215"/>
      <c r="V3" s="217"/>
      <c r="W3" s="219"/>
    </row>
    <row r="4" spans="2:23" ht="33" customHeight="1" thickBot="1" x14ac:dyDescent="0.35">
      <c r="B4" s="210"/>
      <c r="C4" s="22" t="s">
        <v>5</v>
      </c>
      <c r="D4" s="193">
        <v>770</v>
      </c>
      <c r="E4" s="133" t="s">
        <v>94</v>
      </c>
      <c r="F4" s="194">
        <v>30</v>
      </c>
      <c r="H4" s="244"/>
      <c r="I4" s="215"/>
      <c r="J4" s="217"/>
      <c r="K4" s="219"/>
      <c r="L4" s="157"/>
      <c r="M4" s="158"/>
      <c r="N4" s="210"/>
      <c r="O4" s="22" t="s">
        <v>5</v>
      </c>
      <c r="P4" s="193">
        <v>0</v>
      </c>
      <c r="Q4" s="133" t="s">
        <v>94</v>
      </c>
      <c r="R4" s="194">
        <v>0</v>
      </c>
      <c r="T4" s="244"/>
      <c r="U4" s="215"/>
      <c r="V4" s="217"/>
      <c r="W4" s="219"/>
    </row>
    <row r="5" spans="2:23" ht="33" customHeight="1" thickBot="1" x14ac:dyDescent="0.35">
      <c r="B5" s="211"/>
      <c r="C5" s="23" t="s">
        <v>6</v>
      </c>
      <c r="D5" s="195">
        <v>30410</v>
      </c>
      <c r="E5" s="129" t="s">
        <v>125</v>
      </c>
      <c r="F5" s="191">
        <v>30</v>
      </c>
      <c r="H5" s="150" t="s">
        <v>23</v>
      </c>
      <c r="I5" s="151">
        <f>('원래 스펙'!H5+IF($D$18="컨티4",'원래 스펙'!S5*140/12.1*8,IF($D$18="컨티5",'원래 스펙'!S5*160/12.1*8,IF($D$18="컨티6",'원래 스펙'!S5*195/12.1*8,0))))*IF($D$18="컨티4",(100+10/12.1*8+'원래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스펙'!S28*((100+80+'원래 스펙'!$D$10)/(100+'원래 스펙'!$D$10)-1)+'원래 스펙'!S51*((ROUNDDOWN(('원래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스펙'!Q28*((100+80+'원래 스펙'!$D$10)/(100+'원래 스펙'!$D$10)-1)+'원래 스펙'!Q51*((ROUNDDOWN(('원래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스펙'!Q28*((100+95+'원래 스펙'!$D$10)/(100+'원래 스펙'!$D$10)-1)+'원래 스펙'!Q51*((ROUNDDOWN(('원래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357709792755181.19</v>
      </c>
      <c r="J5" s="136">
        <f>'원래 스펙'!I5</f>
        <v>403</v>
      </c>
      <c r="K5" s="137">
        <f>I5/$I$23</f>
        <v>0.2131454410746112</v>
      </c>
      <c r="L5" s="157"/>
      <c r="M5" s="158"/>
      <c r="N5" s="211"/>
      <c r="O5" s="23" t="s">
        <v>6</v>
      </c>
      <c r="P5" s="195">
        <v>0</v>
      </c>
      <c r="Q5" s="129" t="s">
        <v>125</v>
      </c>
      <c r="R5" s="196">
        <v>0</v>
      </c>
      <c r="T5" s="150" t="s">
        <v>23</v>
      </c>
      <c r="U5" s="151">
        <f>('변경 스펙'!H5+IF($P$18="컨티4",'변경 스펙'!S5*140/12.1*8,IF($P$18="컨티5",'변경 스펙'!S5*160/12.1*8,IF($P$18="컨티6",'변경 스펙'!S5*195/12.1*8,0))))*IF($P$18="컨티4",(100+10/12.1*8+'변경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스펙'!S28*((100+80+'변경 스펙'!$D$10)/(100+'변경 스펙'!$D$10)-1)+'변경 스펙'!S51*((ROUNDDOWN(('변경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스펙'!Q28*((100+80+'변경 스펙'!$D$10)/(100+'변경 스펙'!$D$10)-1)+'변경 스펙'!Q51*((ROUNDDOWN(('변경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스펙'!Q28*((100+95+'변경 스펙'!$D$10)/(100+'변경 스펙'!$D$10)-1)+'변경 스펙'!Q51*((ROUNDDOWN(('변경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357709792755181.19</v>
      </c>
      <c r="V5" s="136">
        <f>'변경 스펙'!I5</f>
        <v>403</v>
      </c>
      <c r="W5" s="137">
        <f>U5/$U$23</f>
        <v>0.2131454410746112</v>
      </c>
    </row>
    <row r="6" spans="2:23" ht="33" customHeight="1" thickTop="1" x14ac:dyDescent="0.3">
      <c r="B6" s="212" t="s">
        <v>7</v>
      </c>
      <c r="C6" s="24" t="s">
        <v>3</v>
      </c>
      <c r="D6" s="197">
        <v>4026</v>
      </c>
      <c r="E6" s="128" t="s">
        <v>126</v>
      </c>
      <c r="F6" s="191">
        <v>30</v>
      </c>
      <c r="H6" s="152" t="s">
        <v>30</v>
      </c>
      <c r="I6" s="134">
        <f>('원래 스펙'!H6+IF($D$18="컨티4",'원래 스펙'!S6*140/12.1*8,IF($D$18="컨티5",'원래 스펙'!S6*160/12.1*8,IF($D$18="컨티6",'원래 스펙'!S6*195/12.1*8,0))))*IF($D$18="컨티4",(100+10/12.1*8+'원래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스펙'!S29*((100+80+'원래 스펙'!$D$10)/(100+'원래 스펙'!$D$10)-1)+'원래 스펙'!S52*((ROUNDDOWN(('원래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스펙'!Q29*((100+80+'원래 스펙'!$D$10)/(100+'원래 스펙'!$D$10)-1)+'원래 스펙'!Q52*((ROUNDDOWN(('원래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스펙'!Q29*((100+95+'원래 스펙'!$D$10)/(100+'원래 스펙'!$D$10)-1)+'원래 스펙'!Q52*((ROUNDDOWN(('원래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54876346395752.273</v>
      </c>
      <c r="J6" s="135">
        <f>'원래 스펙'!I6</f>
        <v>164</v>
      </c>
      <c r="K6" s="138">
        <f>I6/$I$23</f>
        <v>3.2698694008332682E-2</v>
      </c>
      <c r="L6" s="157"/>
      <c r="M6" s="158"/>
      <c r="N6" s="212" t="s">
        <v>7</v>
      </c>
      <c r="O6" s="24" t="s">
        <v>3</v>
      </c>
      <c r="P6" s="197">
        <v>0</v>
      </c>
      <c r="Q6" s="128" t="s">
        <v>126</v>
      </c>
      <c r="R6" s="191">
        <v>0</v>
      </c>
      <c r="T6" s="152" t="s">
        <v>30</v>
      </c>
      <c r="U6" s="134">
        <f>('변경 스펙'!H6+IF($P$18="컨티4",'변경 스펙'!S6*140/12.1*8,IF($P$18="컨티5",'변경 스펙'!S6*160/12.1*8,IF($P$18="컨티6",'변경 스펙'!S6*195/12.1*8,0))))*IF($P$18="컨티4",(100+10/12.1*8+'변경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스펙'!S29*((100+80+'변경 스펙'!$D$10)/(100+'변경 스펙'!$D$10)-1)+'변경 스펙'!S52*((ROUNDDOWN(('변경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스펙'!Q29*((100+80+'변경 스펙'!$D$10)/(100+'변경 스펙'!$D$10)-1)+'변경 스펙'!Q52*((ROUNDDOWN(('변경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스펙'!Q29*((100+95+'변경 스펙'!$D$10)/(100+'변경 스펙'!$D$10)-1)+'변경 스펙'!Q52*((ROUNDDOWN(('변경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54876346395752.273</v>
      </c>
      <c r="V6" s="135">
        <f>'변경 스펙'!I6</f>
        <v>164</v>
      </c>
      <c r="W6" s="138">
        <f>U6/$U$23</f>
        <v>3.2698694008332682E-2</v>
      </c>
    </row>
    <row r="7" spans="2:23" ht="33" x14ac:dyDescent="0.3">
      <c r="B7" s="210"/>
      <c r="C7" s="22" t="s">
        <v>5</v>
      </c>
      <c r="D7" s="193">
        <v>240</v>
      </c>
      <c r="E7" s="129" t="s">
        <v>127</v>
      </c>
      <c r="F7" s="191">
        <v>30</v>
      </c>
      <c r="H7" s="258" t="s">
        <v>31</v>
      </c>
      <c r="I7" s="246">
        <f>('원래 스펙'!H7+IF($D$18="컨티4",('원래 스펙'!S7+'원래 스펙'!S8)*140/12.1*8,IF($D$18="컨티5",('원래 스펙'!S7+'원래 스펙'!S8)*160/12.1*8,IF($D$18="컨티6",('원래 스펙'!S7+'원래 스펙'!S8)*195/12.1*8,0))))*IF($D$18="컨티4",(100+10/12.1*8+'원래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스펙'!$D$10),1)))+IF($D$18="리레4",('원래 스펙'!S30+'원래 스펙'!S31)*((100+80+'원래 스펙'!$D$10)/(100+'원래 스펙'!$D$10)-1)+('원래 스펙'!S53+'원래 스펙'!S54)*((ROUNDDOWN(('원래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스펙'!$D$8,0))-1),IF($D$18="리레5",('원래 스펙'!Q30+'원래 스펙'!Q31)*((100+80+'원래 스펙'!$D$10)/(100+'원래 스펙'!$D$10)-1)+('원래 스펙'!Q53+'원래 스펙'!Q54)*((ROUNDDOWN(('원래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스펙'!$D$8,0))-1),IF($D$18="리레6",('원래 스펙'!Q30+'원래 스펙'!Q31)*((100+95+'원래 스펙'!$D$10)/(100+'원래 스펙'!$D$10)-1)+('원래 스펙'!Q53+'원래 스펙'!Q54)*((ROUNDDOWN(('원래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111439549907733.86</v>
      </c>
      <c r="J7" s="207">
        <f>'원래 스펙'!I7</f>
        <v>71</v>
      </c>
      <c r="K7" s="208">
        <f t="shared" ref="K7:K8" si="0">I7/$I$23</f>
        <v>6.6402520980175309E-2</v>
      </c>
      <c r="L7" s="157"/>
      <c r="M7" s="158"/>
      <c r="N7" s="210"/>
      <c r="O7" s="22" t="s">
        <v>5</v>
      </c>
      <c r="P7" s="193">
        <v>0</v>
      </c>
      <c r="Q7" s="129" t="s">
        <v>127</v>
      </c>
      <c r="R7" s="191">
        <v>0</v>
      </c>
      <c r="T7" s="258" t="s">
        <v>31</v>
      </c>
      <c r="U7" s="246">
        <f>('변경 스펙'!H7+IF($P$18="컨티4",('변경 스펙'!S7+'변경 스펙'!S8)*140/12.1*8,IF($P$18="컨티5",('변경 스펙'!S7+'변경 스펙'!S8)*160/12.1*8,IF($P$18="컨티6",('변경 스펙'!S7+'변경 스펙'!S8)*195/12.1*8,0))))*IF($P$18="컨티4",(100+10/12.1*8+'변경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스펙'!$D$10),1)))+IF($P$18="리레4",('변경 스펙'!S30+'변경 스펙'!S31)*((100+80+'변경 스펙'!$D$10)/(100+'변경 스펙'!$D$10)-1)+('변경 스펙'!S53+'변경 스펙'!S54)*((ROUNDDOWN(('변경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스펙'!$D$8,0))-1),IF($P$18="리레5",('변경 스펙'!Q30+'변경 스펙'!Q31)*((100+80+'변경 스펙'!$D$10)/(100+'변경 스펙'!$D$10)-1)+('변경 스펙'!Q53+'변경 스펙'!Q54)*((ROUNDDOWN(('변경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스펙'!$D$8,0))-1),IF($P$18="리레6",('변경 스펙'!Q30+'변경 스펙'!Q31)*((100+95+'변경 스펙'!$D$10)/(100+'변경 스펙'!$D$10)-1)+('변경 스펙'!Q53+'변경 스펙'!Q54)*((ROUNDDOWN(('변경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111439549907733.86</v>
      </c>
      <c r="V7" s="207">
        <f>'변경 스펙'!I7</f>
        <v>71</v>
      </c>
      <c r="W7" s="208">
        <f t="shared" ref="W7:W8" si="1">U7/$U$23</f>
        <v>6.6402520980175309E-2</v>
      </c>
    </row>
    <row r="8" spans="2:23" ht="33" customHeight="1" thickBot="1" x14ac:dyDescent="0.35">
      <c r="B8" s="213"/>
      <c r="C8" s="25" t="s">
        <v>6</v>
      </c>
      <c r="D8" s="198">
        <v>280</v>
      </c>
      <c r="E8" s="129" t="s">
        <v>128</v>
      </c>
      <c r="F8" s="191">
        <v>30</v>
      </c>
      <c r="H8" s="259"/>
      <c r="I8" s="247"/>
      <c r="J8" s="207">
        <f>'원래 스펙'!I8</f>
        <v>0</v>
      </c>
      <c r="K8" s="208">
        <f t="shared" si="0"/>
        <v>0</v>
      </c>
      <c r="L8" s="157"/>
      <c r="M8" s="158"/>
      <c r="N8" s="213"/>
      <c r="O8" s="25" t="s">
        <v>6</v>
      </c>
      <c r="P8" s="198">
        <v>0</v>
      </c>
      <c r="Q8" s="129" t="s">
        <v>128</v>
      </c>
      <c r="R8" s="191">
        <v>0</v>
      </c>
      <c r="T8" s="259"/>
      <c r="U8" s="247"/>
      <c r="V8" s="207">
        <f>'변경 스펙'!I8</f>
        <v>0</v>
      </c>
      <c r="W8" s="208">
        <f t="shared" si="1"/>
        <v>0</v>
      </c>
    </row>
    <row r="9" spans="2:23" ht="33" customHeight="1" thickTop="1" x14ac:dyDescent="0.3">
      <c r="B9" s="223" t="s">
        <v>8</v>
      </c>
      <c r="C9" s="28" t="s">
        <v>3</v>
      </c>
      <c r="D9" s="199">
        <v>4496</v>
      </c>
      <c r="E9" s="128" t="s">
        <v>129</v>
      </c>
      <c r="F9" s="191">
        <v>30</v>
      </c>
      <c r="H9" s="152" t="s">
        <v>9</v>
      </c>
      <c r="I9" s="134">
        <f>('원래 스펙'!H9+IF($D$18="컨티4",'원래 스펙'!S9*140/12.1*8,IF($D$18="컨티5",'원래 스펙'!S9*160/12.1*8,IF($D$18="컨티6",'원래 스펙'!S9*195/12.1*8,0))))*IF($D$18="컨티4",(100+10/12.1*8+'원래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스펙'!S32*((100+80+'원래 스펙'!$D$10)/(100+'원래 스펙'!$D$10)-1)+'원래 스펙'!S55*((ROUNDDOWN(('원래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스펙'!Q32*((100+80+'원래 스펙'!$D$10)/(100+'원래 스펙'!$D$10)-1)+'원래 스펙'!Q55*((ROUNDDOWN(('원래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스펙'!Q32*((100+95+'원래 스펙'!$D$10)/(100+'원래 스펙'!$D$10)-1)+'원래 스펙'!Q55*((ROUNDDOWN(('원래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133975359541398.13</v>
      </c>
      <c r="J9" s="135">
        <f>'원래 스펙'!I9</f>
        <v>32</v>
      </c>
      <c r="K9" s="138">
        <f>I9/$I$23</f>
        <v>7.9830738998316969E-2</v>
      </c>
      <c r="L9" s="157"/>
      <c r="M9" s="158"/>
      <c r="N9" s="223" t="s">
        <v>8</v>
      </c>
      <c r="O9" s="28" t="s">
        <v>3</v>
      </c>
      <c r="P9" s="199">
        <v>0</v>
      </c>
      <c r="Q9" s="128" t="s">
        <v>129</v>
      </c>
      <c r="R9" s="191">
        <v>0</v>
      </c>
      <c r="T9" s="152" t="s">
        <v>9</v>
      </c>
      <c r="U9" s="134">
        <f>('변경 스펙'!H9+IF($P$18="컨티4",'변경 스펙'!S9*140/12.1*8,IF($P$18="컨티5",'변경 스펙'!S9*160/12.1*8,IF($P$18="컨티6",'변경 스펙'!S9*195/12.1*8,0))))*IF($P$18="컨티4",(100+10/12.1*8+'변경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스펙'!S32*((100+80+'변경 스펙'!$D$10)/(100+'변경 스펙'!$D$10)-1)+'변경 스펙'!S55*((ROUNDDOWN(('변경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스펙'!Q32*((100+80+'변경 스펙'!$D$10)/(100+'변경 스펙'!$D$10)-1)+'변경 스펙'!Q55*((ROUNDDOWN(('변경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스펙'!Q32*((100+95+'변경 스펙'!$D$10)/(100+'변경 스펙'!$D$10)-1)+'변경 스펙'!Q55*((ROUNDDOWN(('변경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133975359541398.13</v>
      </c>
      <c r="V9" s="135">
        <f>'변경 스펙'!I9</f>
        <v>32</v>
      </c>
      <c r="W9" s="138">
        <f>U9/$U$23</f>
        <v>7.9830738998316969E-2</v>
      </c>
    </row>
    <row r="10" spans="2:23" ht="33" customHeight="1" thickBot="1" x14ac:dyDescent="0.35">
      <c r="B10" s="213"/>
      <c r="C10" s="25" t="s">
        <v>5</v>
      </c>
      <c r="D10" s="198">
        <v>150</v>
      </c>
      <c r="E10" s="128" t="s">
        <v>123</v>
      </c>
      <c r="F10" s="232">
        <v>30</v>
      </c>
      <c r="H10" s="153" t="s">
        <v>19</v>
      </c>
      <c r="I10" s="134">
        <f>('원래 스펙'!H10+IF($D$18="컨티4",'원래 스펙'!S10*140,IF($D$18="컨티5",'원래 스펙'!S10*160,IF($D$18="컨티6",'원래 스펙'!S10*195,0))))*IF($D$18="컨티4",(100+10+'원래 스펙'!$D$10)/(100+'원래 스펙'!$D$10),IF($D$18="컨티5",(100+12+'원래 스펙'!$D$10)/(100+'원래 스펙'!$D$10),IF($D$18="컨티6",(100+14+'원래 스펙'!$D$10)/(100+'원래 스펙'!$D$10),1)))+IF($D$18="리레4",'원래 스펙'!S33*((100+80+'원래 스펙'!$D$10)/(100+'원래 스펙'!$D$10)-1)+'원래 스펙'!S56*((ROUNDDOWN(('원래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스펙'!Q33*((100+80+'원래 스펙'!$D$10)/(100+'원래 스펙'!$D$10)-1)+'원래 스펙'!Q56*((ROUNDDOWN(('원래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스펙'!Q33*((100+95+'원래 스펙'!$D$10)/(100+'원래 스펙'!$D$10)-1)+'원래 스펙'!Q56*((ROUNDDOWN(('원래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70706741510796.266</v>
      </c>
      <c r="J10" s="135">
        <f>'원래 스펙'!I10</f>
        <v>6</v>
      </c>
      <c r="K10" s="138">
        <f t="shared" ref="K10:K22" si="2">I10/$I$23</f>
        <v>4.2131414659317849E-2</v>
      </c>
      <c r="L10" s="157"/>
      <c r="M10" s="158"/>
      <c r="N10" s="213"/>
      <c r="O10" s="25" t="s">
        <v>5</v>
      </c>
      <c r="P10" s="198">
        <v>0</v>
      </c>
      <c r="Q10" s="128" t="s">
        <v>123</v>
      </c>
      <c r="R10" s="232">
        <v>0</v>
      </c>
      <c r="T10" s="153" t="s">
        <v>19</v>
      </c>
      <c r="U10" s="134">
        <f>('변경 스펙'!H10+IF($P$18="컨티4",'변경 스펙'!S10*140,IF($P$18="컨티5",'변경 스펙'!S10*160,IF($P$18="컨티6",'변경 스펙'!S10*195,0))))*IF($P$18="컨티4",(100+10+'변경 스펙'!$D$10)/(100+'변경 스펙'!$D$10),IF($P$18="컨티5",(100+12+'변경 스펙'!$D$10)/(100+'변경 스펙'!$D$10),IF($P$18="컨티6",(100+14+'변경 스펙'!$D$10)/(100+'변경 스펙'!$D$10),1)))+IF($P$18="리레4",'변경 스펙'!S33*((100+80+'변경 스펙'!$D$10)/(100+'변경 스펙'!$D$10)-1)+'변경 스펙'!S56*((ROUNDDOWN(('변경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스펙'!Q33*((100+80+'변경 스펙'!$D$10)/(100+'변경 스펙'!$D$10)-1)+'변경 스펙'!Q56*((ROUNDDOWN(('변경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스펙'!Q33*((100+95+'변경 스펙'!$D$10)/(100+'변경 스펙'!$D$10)-1)+'변경 스펙'!Q56*((ROUNDDOWN(('변경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70706741510796.266</v>
      </c>
      <c r="V10" s="135">
        <f>'변경 스펙'!I10</f>
        <v>6</v>
      </c>
      <c r="W10" s="138">
        <f t="shared" ref="W10:W22" si="3">U10/$U$23</f>
        <v>4.2131414659317849E-2</v>
      </c>
    </row>
    <row r="11" spans="2:23" ht="33" customHeight="1" thickTop="1" x14ac:dyDescent="0.3">
      <c r="B11" s="224" t="s">
        <v>10</v>
      </c>
      <c r="C11" s="225"/>
      <c r="D11" s="199">
        <v>174.75</v>
      </c>
      <c r="E11" s="128" t="s">
        <v>124</v>
      </c>
      <c r="F11" s="232"/>
      <c r="H11" s="153" t="s">
        <v>134</v>
      </c>
      <c r="I11" s="134">
        <f>('원래 스펙'!H11+IF($D$18="컨티4",'원래 스펙'!S11*140/12.1*8,IF($D$18="컨티5",'원래 스펙'!S11*160/12.1*8,IF($D$18="컨티6",'원래 스펙'!S11*195/12.1*8,0))))*IF($D$18="컨티4",(100+10/12.1*8+'원래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스펙'!S34*((100+80+'원래 스펙'!$D$10)/(100+'원래 스펙'!$D$10)-1)+'원래 스펙'!S57*((ROUNDDOWN(('원래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스펙'!Q34*((100+80+'원래 스펙'!$D$10)/(100+'원래 스펙'!$D$10)-1)+'원래 스펙'!Q57*((ROUNDDOWN(('원래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스펙'!Q34*((100+95+'원래 스펙'!$D$10)/(100+'원래 스펙'!$D$10)-1)+'원래 스펙'!Q57*((ROUNDDOWN(('원래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74981086335066.469</v>
      </c>
      <c r="J11" s="135">
        <f>'원래 스펙'!I11</f>
        <v>55</v>
      </c>
      <c r="K11" s="138">
        <f t="shared" si="2"/>
        <v>4.4678331549282857E-2</v>
      </c>
      <c r="L11" s="157"/>
      <c r="M11" s="158"/>
      <c r="N11" s="224" t="s">
        <v>10</v>
      </c>
      <c r="O11" s="225"/>
      <c r="P11" s="199">
        <v>0</v>
      </c>
      <c r="Q11" s="128" t="s">
        <v>124</v>
      </c>
      <c r="R11" s="232"/>
      <c r="T11" s="153" t="s">
        <v>134</v>
      </c>
      <c r="U11" s="134">
        <f>('변경 스펙'!H11+IF($P$18="컨티4",'변경 스펙'!S11*140/12.1*8,IF($P$18="컨티5",'변경 스펙'!S11*160/12.1*8,IF($P$18="컨티6",'변경 스펙'!S11*195/12.1*8,0))))*IF($P$18="컨티4",(100+10/12.1*8+'변경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스펙'!S34*((100+80+'변경 스펙'!$D$10)/(100+'변경 스펙'!$D$10)-1)+'변경 스펙'!S57*((ROUNDDOWN(('변경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스펙'!Q34*((100+80+'변경 스펙'!$D$10)/(100+'변경 스펙'!$D$10)-1)+'변경 스펙'!Q57*((ROUNDDOWN(('변경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스펙'!Q34*((100+95+'변경 스펙'!$D$10)/(100+'변경 스펙'!$D$10)-1)+'변경 스펙'!Q57*((ROUNDDOWN(('변경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74981086335066.469</v>
      </c>
      <c r="V11" s="135">
        <f>'변경 스펙'!I11</f>
        <v>55</v>
      </c>
      <c r="W11" s="138">
        <f t="shared" si="3"/>
        <v>4.4678331549282857E-2</v>
      </c>
    </row>
    <row r="12" spans="2:23" ht="33" customHeight="1" x14ac:dyDescent="0.3">
      <c r="B12" s="226" t="s">
        <v>11</v>
      </c>
      <c r="C12" s="227"/>
      <c r="D12" s="200">
        <v>97.635238095238094</v>
      </c>
      <c r="E12" s="128" t="s">
        <v>130</v>
      </c>
      <c r="F12" s="232">
        <v>30</v>
      </c>
      <c r="H12" s="152" t="s">
        <v>22</v>
      </c>
      <c r="I12" s="134">
        <f>('원래 스펙'!H12+IF($D$18="컨티4",'원래 스펙'!S12*140/12.1*8,IF($D$18="컨티5",'원래 스펙'!S12*160/12.1*8,IF($D$18="컨티6",'원래 스펙'!S12*195/12.1*8,0))))*IF($D$18="컨티4",(100+10/12.1*8+'원래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스펙'!S35*((100+80+'원래 스펙'!$D$10)/(100+'원래 스펙'!$D$10)-1)+'원래 스펙'!S58*((ROUNDDOWN(('원래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스펙'!Q35*((100+80+'원래 스펙'!$D$10)/(100+'원래 스펙'!$D$10)-1)+'원래 스펙'!Q58*((ROUNDDOWN(('원래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스펙'!Q35*((100+95+'원래 스펙'!$D$10)/(100+'원래 스펙'!$D$10)-1)+'원래 스펙'!Q58*((ROUNDDOWN(('원래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58645063941426.297</v>
      </c>
      <c r="J12" s="135">
        <f>'원래 스펙'!I12</f>
        <v>22</v>
      </c>
      <c r="K12" s="138">
        <f t="shared" si="2"/>
        <v>3.4944327143984884E-2</v>
      </c>
      <c r="L12" s="157"/>
      <c r="M12" s="158"/>
      <c r="N12" s="226" t="s">
        <v>11</v>
      </c>
      <c r="O12" s="227"/>
      <c r="P12" s="366">
        <v>0</v>
      </c>
      <c r="Q12" s="128" t="s">
        <v>130</v>
      </c>
      <c r="R12" s="232">
        <v>0</v>
      </c>
      <c r="T12" s="152" t="s">
        <v>22</v>
      </c>
      <c r="U12" s="134">
        <f>('변경 스펙'!H12+IF($P$18="컨티4",'변경 스펙'!S12*140/12.1*8,IF($P$18="컨티5",'변경 스펙'!S12*160/12.1*8,IF($P$18="컨티6",'변경 스펙'!S12*195/12.1*8,0))))*IF($P$18="컨티4",(100+10/12.1*8+'변경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스펙'!S35*((100+80+'변경 스펙'!$D$10)/(100+'변경 스펙'!$D$10)-1)+'변경 스펙'!S58*((ROUNDDOWN(('변경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스펙'!Q35*((100+80+'변경 스펙'!$D$10)/(100+'변경 스펙'!$D$10)-1)+'변경 스펙'!Q58*((ROUNDDOWN(('변경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스펙'!Q35*((100+95+'변경 스펙'!$D$10)/(100+'변경 스펙'!$D$10)-1)+'변경 스펙'!Q58*((ROUNDDOWN(('변경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58645063941426.297</v>
      </c>
      <c r="V12" s="135">
        <f>'변경 스펙'!I12</f>
        <v>22</v>
      </c>
      <c r="W12" s="138">
        <f t="shared" si="3"/>
        <v>3.4944327143984884E-2</v>
      </c>
    </row>
    <row r="13" spans="2:23" ht="33" customHeight="1" thickBot="1" x14ac:dyDescent="0.35">
      <c r="B13" s="228" t="s">
        <v>42</v>
      </c>
      <c r="C13" s="229"/>
      <c r="D13" s="195">
        <v>715</v>
      </c>
      <c r="E13" s="129" t="s">
        <v>134</v>
      </c>
      <c r="F13" s="232"/>
      <c r="H13" s="152" t="s">
        <v>17</v>
      </c>
      <c r="I13" s="134">
        <f>('원래 스펙'!H13+IF($D$18="컨티4",'원래 스펙'!S13*140/12.1*8,IF($D$18="컨티5",'원래 스펙'!S13*160/12.1*8,IF($D$18="컨티6",'원래 스펙'!S13*195/12.1*8,0))))*IF($D$18="컨티4",(100+10/12.1*8+'원래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스펙'!S36*((100+80+'원래 스펙'!$D$10)/(100+'원래 스펙'!$D$10)-1)+'원래 스펙'!S59*((ROUNDDOWN(('원래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스펙'!Q36*((100+80+'원래 스펙'!$D$10)/(100+'원래 스펙'!$D$10)-1)+'원래 스펙'!Q59*((ROUNDDOWN(('원래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스펙'!Q36*((100+95+'원래 스펙'!$D$10)/(100+'원래 스펙'!$D$10)-1)+'원래 스펙'!Q59*((ROUNDDOWN(('원래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84135223886917.219</v>
      </c>
      <c r="J13" s="135">
        <f>'원래 스펙'!I13</f>
        <v>543</v>
      </c>
      <c r="K13" s="138">
        <f t="shared" si="2"/>
        <v>5.0132928336020198E-2</v>
      </c>
      <c r="L13" s="157"/>
      <c r="M13" s="158"/>
      <c r="N13" s="228" t="s">
        <v>42</v>
      </c>
      <c r="O13" s="229"/>
      <c r="P13" s="195">
        <v>0</v>
      </c>
      <c r="Q13" s="129" t="s">
        <v>134</v>
      </c>
      <c r="R13" s="232"/>
      <c r="T13" s="152" t="s">
        <v>17</v>
      </c>
      <c r="U13" s="134">
        <f>('변경 스펙'!H13+IF($P$18="컨티4",'변경 스펙'!S13*140/12.1*8,IF($P$18="컨티5",'변경 스펙'!S13*160/12.1*8,IF($P$18="컨티6",'변경 스펙'!S13*195/12.1*8,0))))*IF($P$18="컨티4",(100+10/12.1*8+'변경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스펙'!S36*((100+80+'변경 스펙'!$D$10)/(100+'변경 스펙'!$D$10)-1)+'변경 스펙'!S59*((ROUNDDOWN(('변경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스펙'!Q36*((100+80+'변경 스펙'!$D$10)/(100+'변경 스펙'!$D$10)-1)+'변경 스펙'!Q59*((ROUNDDOWN(('변경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스펙'!Q36*((100+95+'변경 스펙'!$D$10)/(100+'변경 스펙'!$D$10)-1)+'변경 스펙'!Q59*((ROUNDDOWN(('변경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84135223886917.219</v>
      </c>
      <c r="V13" s="135">
        <f>'변경 스펙'!I13</f>
        <v>543</v>
      </c>
      <c r="W13" s="138">
        <f t="shared" si="3"/>
        <v>5.0132928336020198E-2</v>
      </c>
    </row>
    <row r="14" spans="2:23" ht="33" customHeight="1" thickTop="1" x14ac:dyDescent="0.3">
      <c r="B14" s="230" t="s">
        <v>148</v>
      </c>
      <c r="C14" s="231"/>
      <c r="D14" s="201">
        <v>95</v>
      </c>
      <c r="E14" s="128" t="s">
        <v>131</v>
      </c>
      <c r="F14" s="232"/>
      <c r="G14"/>
      <c r="H14" s="152" t="s">
        <v>16</v>
      </c>
      <c r="I14" s="134">
        <f>('원래 스펙'!H14+IF($D$18="컨티4",'원래 스펙'!S14*140/12.1*8,IF($D$18="컨티5",'원래 스펙'!S14*160/12.1*8,IF($D$18="컨티6",'원래 스펙'!S14*195/12.1*8,0))))*IF($D$18="컨티4",(100+10/12.1*8+'원래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스펙'!S37*((100+80+'원래 스펙'!$D$10)/(100+'원래 스펙'!$D$10)-1)+'원래 스펙'!S60*((ROUNDDOWN(('원래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스펙'!Q37*((100+80+'원래 스펙'!$D$10)/(100+'원래 스펙'!$D$10)-1)+'원래 스펙'!Q60*((ROUNDDOWN(('원래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스펙'!Q37*((100+95+'원래 스펙'!$D$10)/(100+'원래 스펙'!$D$10)-1)+'원래 스펙'!Q60*((ROUNDDOWN(('원래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185582198019228.34</v>
      </c>
      <c r="J14" s="135">
        <f>'원래 스펙'!I14</f>
        <v>71</v>
      </c>
      <c r="K14" s="138">
        <f t="shared" si="2"/>
        <v>0.11058125959519546</v>
      </c>
      <c r="L14" s="157"/>
      <c r="M14" s="158"/>
      <c r="N14" s="230" t="s">
        <v>103</v>
      </c>
      <c r="O14" s="231"/>
      <c r="P14" s="201">
        <v>0</v>
      </c>
      <c r="Q14" s="128" t="s">
        <v>131</v>
      </c>
      <c r="R14" s="232"/>
      <c r="S14"/>
      <c r="T14" s="152" t="s">
        <v>16</v>
      </c>
      <c r="U14" s="134">
        <f>('변경 스펙'!H14+IF($P$18="컨티4",'변경 스펙'!S14*140/12.1*8,IF($P$18="컨티5",'변경 스펙'!S14*160/12.1*8,IF($P$18="컨티6",'변경 스펙'!S14*195/12.1*8,0))))*IF($P$18="컨티4",(100+10/12.1*8+'변경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스펙'!S37*((100+80+'변경 스펙'!$D$10)/(100+'변경 스펙'!$D$10)-1)+'변경 스펙'!S60*((ROUNDDOWN(('변경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스펙'!Q37*((100+80+'변경 스펙'!$D$10)/(100+'변경 스펙'!$D$10)-1)+'변경 스펙'!Q60*((ROUNDDOWN(('변경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스펙'!Q37*((100+95+'변경 스펙'!$D$10)/(100+'변경 스펙'!$D$10)-1)+'변경 스펙'!Q60*((ROUNDDOWN(('변경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185582198019228.34</v>
      </c>
      <c r="V14" s="135">
        <f>'변경 스펙'!I14</f>
        <v>71</v>
      </c>
      <c r="W14" s="138">
        <f t="shared" si="3"/>
        <v>0.11058125959519546</v>
      </c>
    </row>
    <row r="15" spans="2:23" ht="33" customHeight="1" thickBot="1" x14ac:dyDescent="0.35">
      <c r="B15" s="235" t="s">
        <v>105</v>
      </c>
      <c r="C15" s="236"/>
      <c r="D15" s="202">
        <v>17.5</v>
      </c>
      <c r="E15" s="130" t="s">
        <v>132</v>
      </c>
      <c r="F15" s="203">
        <v>30</v>
      </c>
      <c r="H15" s="153" t="s">
        <v>18</v>
      </c>
      <c r="I15" s="134">
        <f>('원래 스펙'!H15+IF($D$18="컨티4",'원래 스펙'!S15*140/12.1*8,IF($D$18="컨티5",'원래 스펙'!S15*160/12.1*8,IF($D$18="컨티6",'원래 스펙'!S15*195/12.1*8,0))))*IF($D$18="컨티4",(100+10/12.1*8+'원래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스펙'!S38*((100+80+'원래 스펙'!$D$10)/(100+'원래 스펙'!$D$10)-1)+'원래 스펙'!S61*((ROUNDDOWN(('원래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스펙'!Q38*((100+80+'원래 스펙'!$D$10)/(100+'원래 스펙'!$D$10)-1)+'원래 스펙'!Q61*((ROUNDDOWN(('원래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스펙'!Q38*((100+95+'원래 스펙'!$D$10)/(100+'원래 스펙'!$D$10)-1)+'원래 스펙'!Q61*((ROUNDDOWN(('원래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81983707500978.797</v>
      </c>
      <c r="J15" s="135">
        <f>'원래 스펙'!I15</f>
        <v>62</v>
      </c>
      <c r="K15" s="138">
        <f t="shared" si="2"/>
        <v>4.8850922871400561E-2</v>
      </c>
      <c r="L15" s="157"/>
      <c r="M15" s="158"/>
      <c r="N15" s="235" t="s">
        <v>105</v>
      </c>
      <c r="O15" s="236"/>
      <c r="P15" s="202">
        <v>0</v>
      </c>
      <c r="Q15" s="130" t="s">
        <v>132</v>
      </c>
      <c r="R15" s="203">
        <v>0</v>
      </c>
      <c r="T15" s="153" t="s">
        <v>18</v>
      </c>
      <c r="U15" s="134">
        <f>('변경 스펙'!H15+IF($P$18="컨티4",'변경 스펙'!S15*140/12.1*8,IF($P$18="컨티5",'변경 스펙'!S15*160/12.1*8,IF($P$18="컨티6",'변경 스펙'!S15*195/12.1*8,0))))*IF($P$18="컨티4",(100+10/12.1*8+'변경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스펙'!S38*((100+80+'변경 스펙'!$D$10)/(100+'변경 스펙'!$D$10)-1)+'변경 스펙'!S61*((ROUNDDOWN(('변경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스펙'!Q38*((100+80+'변경 스펙'!$D$10)/(100+'변경 스펙'!$D$10)-1)+'변경 스펙'!Q61*((ROUNDDOWN(('변경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스펙'!Q38*((100+95+'변경 스펙'!$D$10)/(100+'변경 스펙'!$D$10)-1)+'변경 스펙'!Q61*((ROUNDDOWN(('변경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81983707500978.797</v>
      </c>
      <c r="V15" s="135">
        <f>'변경 스펙'!I15</f>
        <v>62</v>
      </c>
      <c r="W15" s="138">
        <f t="shared" si="3"/>
        <v>4.8850922871400561E-2</v>
      </c>
    </row>
    <row r="16" spans="2:23" ht="33" customHeight="1" thickBot="1" x14ac:dyDescent="0.35">
      <c r="B16" s="220" t="s">
        <v>143</v>
      </c>
      <c r="C16" s="221"/>
      <c r="D16" s="204">
        <v>2</v>
      </c>
      <c r="H16" s="153" t="s">
        <v>21</v>
      </c>
      <c r="I16" s="134">
        <f>('원래 스펙'!H16+IF($D$18="컨티4",'원래 스펙'!S16*140/12.1*8,IF($D$18="컨티5",'원래 스펙'!S16*160/12.1*8,IF($D$18="컨티6",'원래 스펙'!S16*195/12.1*8,0))))*IF($D$18="컨티4",(100+10/12.1*8+'원래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스펙'!S39*((100+80+'원래 스펙'!$D$10)/(100+'원래 스펙'!$D$10)-1)+'원래 스펙'!S62*((ROUNDDOWN(('원래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스펙'!Q39*((100+80+'원래 스펙'!$D$10)/(100+'원래 스펙'!$D$10)-1)+'원래 스펙'!Q62*((ROUNDDOWN(('원래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스펙'!Q39*((100+95+'원래 스펙'!$D$10)/(100+'원래 스펙'!$D$10)-1)+'원래 스펙'!Q62*((ROUNDDOWN(('원래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157257578437181</v>
      </c>
      <c r="J16" s="135">
        <f>'원래 스펙'!I16</f>
        <v>75</v>
      </c>
      <c r="K16" s="138">
        <f t="shared" si="2"/>
        <v>9.3703713449239126E-2</v>
      </c>
      <c r="L16" s="157"/>
      <c r="M16" s="158"/>
      <c r="N16" s="220" t="s">
        <v>112</v>
      </c>
      <c r="O16" s="221"/>
      <c r="P16" s="204">
        <v>0</v>
      </c>
      <c r="T16" s="153" t="s">
        <v>21</v>
      </c>
      <c r="U16" s="134">
        <f>('변경 스펙'!H16+IF($P$18="컨티4",'변경 스펙'!S16*140/12.1*8,IF($P$18="컨티5",'변경 스펙'!S16*160/12.1*8,IF($P$18="컨티6",'변경 스펙'!S16*195/12.1*8,0))))*IF($P$18="컨티4",(100+10/12.1*8+'변경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스펙'!S39*((100+80+'변경 스펙'!$D$10)/(100+'변경 스펙'!$D$10)-1)+'변경 스펙'!S62*((ROUNDDOWN(('변경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스펙'!Q39*((100+80+'변경 스펙'!$D$10)/(100+'변경 스펙'!$D$10)-1)+'변경 스펙'!Q62*((ROUNDDOWN(('변경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스펙'!Q39*((100+95+'변경 스펙'!$D$10)/(100+'변경 스펙'!$D$10)-1)+'변경 스펙'!Q62*((ROUNDDOWN(('변경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157257578437181</v>
      </c>
      <c r="V16" s="135">
        <f>'변경 스펙'!I16</f>
        <v>75</v>
      </c>
      <c r="W16" s="138">
        <f t="shared" si="3"/>
        <v>9.3703713449239126E-2</v>
      </c>
    </row>
    <row r="17" spans="2:23" ht="33" customHeight="1" thickTop="1" thickBot="1" x14ac:dyDescent="0.35">
      <c r="B17" s="256" t="s">
        <v>139</v>
      </c>
      <c r="C17" s="257"/>
      <c r="D17" s="205">
        <v>0</v>
      </c>
      <c r="G17" s="159"/>
      <c r="H17" s="153" t="s">
        <v>137</v>
      </c>
      <c r="I17" s="134">
        <f>('원래 스펙'!H17+IF($D$18="컨티4",'원래 스펙'!S17*140,IF($D$18="컨티5",'원래 스펙'!S17*160,IF($D$18="컨티6",'원래 스펙'!S17*195,0))))*IF($D$18="컨티4",(100+10+'원래 스펙'!$D$10)/(100+'원래 스펙'!$D$10),IF($D$18="컨티5",(100+12+'원래 스펙'!$D$10)/(100+'원래 스펙'!$D$10),IF($D$18="컨티6",(100+14+'원래 스펙'!$D$10)/(100+'원래 스펙'!$D$10),1)))+IF($D$18="리레4",'원래 스펙'!S40*((100+80+'원래 스펙'!$D$10)/(100+'원래 스펙'!$D$10)-1)+'원래 스펙'!S63*((ROUNDDOWN(('원래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스펙'!Q40*((100+80+'원래 스펙'!$D$10)/(100+'원래 스펙'!$D$10)-1)+'원래 스펙'!Q63*((ROUNDDOWN(('원래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스펙'!Q40*((100+95+'원래 스펙'!$D$10)/(100+'원래 스펙'!$D$10)-1)+'원래 스펙'!Q63*((ROUNDDOWN(('원래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87078234086869.313</v>
      </c>
      <c r="J17" s="135">
        <f>'원래 스펙'!I17</f>
        <v>3</v>
      </c>
      <c r="K17" s="138">
        <f t="shared" si="2"/>
        <v>5.1886554375509666E-2</v>
      </c>
      <c r="L17" s="157"/>
      <c r="M17" s="158"/>
      <c r="N17" s="256" t="s">
        <v>139</v>
      </c>
      <c r="O17" s="257"/>
      <c r="P17" s="205">
        <v>0</v>
      </c>
      <c r="T17" s="153" t="s">
        <v>137</v>
      </c>
      <c r="U17" s="134">
        <f>('변경 스펙'!H17+IF($P$18="컨티4",'변경 스펙'!S17*140,IF($P$18="컨티5",'변경 스펙'!S17*160,IF($P$18="컨티6",'변경 스펙'!S17*195,0))))*IF($P$18="컨티4",(100+10+'변경 스펙'!$D$10)/(100+'변경 스펙'!$D$10),IF($P$18="컨티5",(100+12+'변경 스펙'!$D$10)/(100+'변경 스펙'!$D$10),IF($P$18="컨티6",(100+14+'변경 스펙'!$D$10)/(100+'변경 스펙'!$D$10),1)))+IF($P$18="리레4",'변경 스펙'!S40*((100+80+'변경 스펙'!$D$10)/(100+'변경 스펙'!$D$10)-1)+'변경 스펙'!S63*((ROUNDDOWN(('변경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스펙'!Q40*((100+80+'변경 스펙'!$D$10)/(100+'변경 스펙'!$D$10)-1)+'변경 스펙'!Q63*((ROUNDDOWN(('변경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스펙'!Q40*((100+95+'변경 스펙'!$D$10)/(100+'변경 스펙'!$D$10)-1)+'변경 스펙'!Q63*((ROUNDDOWN(('변경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87078234086869.313</v>
      </c>
      <c r="V17" s="135">
        <f>'변경 스펙'!I17</f>
        <v>3</v>
      </c>
      <c r="W17" s="138">
        <f t="shared" si="3"/>
        <v>5.1886554375509666E-2</v>
      </c>
    </row>
    <row r="18" spans="2:23" ht="33" customHeight="1" thickTop="1" thickBot="1" x14ac:dyDescent="0.35">
      <c r="B18" s="253" t="s">
        <v>120</v>
      </c>
      <c r="C18" s="254"/>
      <c r="D18" s="206" t="s">
        <v>121</v>
      </c>
      <c r="E18" s="260" t="s">
        <v>144</v>
      </c>
      <c r="F18" s="261"/>
      <c r="G18" s="262"/>
      <c r="H18" s="152" t="s">
        <v>26</v>
      </c>
      <c r="I18" s="134">
        <f>('원래 스펙'!H18+IF($D$18="컨티4",'원래 스펙'!S18*140,IF($D$18="컨티5",'원래 스펙'!S18*160,IF($D$18="컨티6",'원래 스펙'!S18*195,0))))*IF($D$18="컨티4",(100+10+'원래 스펙'!$D$10)/(100+'원래 스펙'!$D$10),IF($D$18="컨티5",(100+12+'원래 스펙'!$D$10)/(100+'원래 스펙'!$D$10),IF($D$18="컨티6",(100+14+'원래 스펙'!$D$10)/(100+'원래 스펙'!$D$10),1)))+IF($D$18="리레4",'원래 스펙'!S41*((100+80+'원래 스펙'!$D$10)/(100+'원래 스펙'!$D$10)-1)+'원래 스펙'!S64*((ROUNDDOWN(('원래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스펙'!Q41*((100+80+'원래 스펙'!$D$10)/(100+'원래 스펙'!$D$10)-1)+'원래 스펙'!Q64*((ROUNDDOWN(('원래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스펙'!Q41*((100+95+'원래 스펙'!$D$10)/(100+'원래 스펙'!$D$10)-1)+'원래 스펙'!Q64*((ROUNDDOWN(('원래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107680357874194.88</v>
      </c>
      <c r="J18" s="135">
        <f>'원래 스펙'!I18</f>
        <v>1</v>
      </c>
      <c r="K18" s="138">
        <f t="shared" si="2"/>
        <v>6.4162563729071434E-2</v>
      </c>
      <c r="L18" s="157"/>
      <c r="M18" s="158"/>
      <c r="N18" s="253" t="s">
        <v>120</v>
      </c>
      <c r="O18" s="254"/>
      <c r="P18" s="206" t="s">
        <v>121</v>
      </c>
      <c r="T18" s="152" t="s">
        <v>26</v>
      </c>
      <c r="U18" s="134">
        <f>('변경 스펙'!H18+IF($P$18="컨티4",'변경 스펙'!S18*140,IF($P$18="컨티5",'변경 스펙'!S18*160,IF($P$18="컨티6",'변경 스펙'!S18*195,0))))*IF($P$18="컨티4",(100+10+'변경 스펙'!$D$10)/(100+'변경 스펙'!$D$10),IF($P$18="컨티5",(100+12+'변경 스펙'!$D$10)/(100+'변경 스펙'!$D$10),IF($P$18="컨티6",(100+14+'변경 스펙'!$D$10)/(100+'변경 스펙'!$D$10),1)))+IF($P$18="리레4",'변경 스펙'!S41*((100+80+'변경 스펙'!$D$10)/(100+'변경 스펙'!$D$10)-1)+'변경 스펙'!S64*((ROUNDDOWN(('변경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스펙'!Q41*((100+80+'변경 스펙'!$D$10)/(100+'변경 스펙'!$D$10)-1)+'변경 스펙'!Q64*((ROUNDDOWN(('변경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스펙'!Q41*((100+95+'변경 스펙'!$D$10)/(100+'변경 스펙'!$D$10)-1)+'변경 스펙'!Q64*((ROUNDDOWN(('변경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107680357874194.88</v>
      </c>
      <c r="V18" s="135">
        <f>'변경 스펙'!I18</f>
        <v>1</v>
      </c>
      <c r="W18" s="138">
        <f t="shared" si="3"/>
        <v>6.4162563729071434E-2</v>
      </c>
    </row>
    <row r="19" spans="2:23" s="1" customFormat="1" ht="33" customHeight="1" x14ac:dyDescent="0.3">
      <c r="B19" s="255" t="s">
        <v>135</v>
      </c>
      <c r="C19" s="255"/>
      <c r="D19" s="255"/>
      <c r="E19" s="255"/>
      <c r="F19" s="255"/>
      <c r="H19" s="153" t="s">
        <v>20</v>
      </c>
      <c r="I19" s="134">
        <f>('원래 스펙'!H19+IF($D$18="컨티4",'원래 스펙'!S19*140/12.1*8,IF($D$18="컨티5",'원래 스펙'!S19*160/12.1*8,IF($D$18="컨티6",'원래 스펙'!S19*195/12.1*8,0))))*IF($D$18="컨티4",(100+10/12.1*8+'원래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스펙'!S42*((100+80+'원래 스펙'!$D$10)/(100+'원래 스펙'!$D$10)-1)+'원래 스펙'!S65*((ROUNDDOWN(('원래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스펙'!Q42*((100+80+'원래 스펙'!$D$10)/(100+'원래 스펙'!$D$10)-1)+'원래 스펙'!Q65*((ROUNDDOWN(('원래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스펙'!Q42*((100+95+'원래 스펙'!$D$10)/(100+'원래 스펙'!$D$10)-1)+'원래 스펙'!Q65*((ROUNDDOWN(('원래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65706062670982.063</v>
      </c>
      <c r="J19" s="135">
        <f>'원래 스펙'!I19</f>
        <v>840</v>
      </c>
      <c r="K19" s="138">
        <f t="shared" si="2"/>
        <v>3.9151703400157098E-2</v>
      </c>
      <c r="L19" s="157"/>
      <c r="M19" s="158"/>
      <c r="N19" s="255" t="s">
        <v>135</v>
      </c>
      <c r="O19" s="255"/>
      <c r="P19" s="255"/>
      <c r="Q19" s="255"/>
      <c r="R19" s="255"/>
      <c r="T19" s="153" t="s">
        <v>20</v>
      </c>
      <c r="U19" s="134">
        <f>('변경 스펙'!H19+IF($P$18="컨티4",'변경 스펙'!S19*140/12.1*8,IF($P$18="컨티5",'변경 스펙'!S19*160/12.1*8,IF($P$18="컨티6",'변경 스펙'!S19*195/12.1*8,0))))*IF($P$18="컨티4",(100+10/12.1*8+'변경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스펙'!S42*((100+80+'변경 스펙'!$D$10)/(100+'변경 스펙'!$D$10)-1)+'변경 스펙'!S65*((ROUNDDOWN(('변경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스펙'!Q42*((100+80+'변경 스펙'!$D$10)/(100+'변경 스펙'!$D$10)-1)+'변경 스펙'!Q65*((ROUNDDOWN(('변경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스펙'!Q42*((100+95+'변경 스펙'!$D$10)/(100+'변경 스펙'!$D$10)-1)+'변경 스펙'!Q65*((ROUNDDOWN(('변경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65706062670982.063</v>
      </c>
      <c r="V19" s="135">
        <f>'변경 스펙'!I19</f>
        <v>840</v>
      </c>
      <c r="W19" s="138">
        <f t="shared" si="3"/>
        <v>3.9151703400157098E-2</v>
      </c>
    </row>
    <row r="20" spans="2:23" ht="33" customHeight="1" thickBot="1" x14ac:dyDescent="0.35">
      <c r="B20" s="245" t="s">
        <v>57</v>
      </c>
      <c r="C20" s="245"/>
      <c r="D20" s="245"/>
      <c r="E20" s="245"/>
      <c r="F20" s="245"/>
      <c r="H20" s="152" t="s">
        <v>12</v>
      </c>
      <c r="I20" s="134">
        <f>('원래 스펙'!H20+IF($D$18="컨티4",'원래 스펙'!S20*140/12.1*8,IF($D$18="컨티5",'원래 스펙'!S20*160/12.1*8,IF($D$18="컨티6",'원래 스펙'!S20*195/12.1*8,0))))*IF($D$18="컨티4",(100+10/12.1*8+'원래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스펙'!S43*((100+80+'원래 스펙'!$D$10)/(100+'원래 스펙'!$D$10)-1)+'원래 스펙'!S66*((ROUNDDOWN(('원래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스펙'!Q43*((100+80+'원래 스펙'!$D$10)/(100+'원래 스펙'!$D$10)-1)+'원래 스펙'!Q66*((ROUNDDOWN(('원래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스펙'!Q43*((100+95+'원래 스펙'!$D$10)/(100+'원래 스펙'!$D$10)-1)+'원래 스펙'!Q66*((ROUNDDOWN(('원래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28843914182534.094</v>
      </c>
      <c r="J20" s="135">
        <f>'원래 스펙'!I20</f>
        <v>60</v>
      </c>
      <c r="K20" s="138">
        <f t="shared" si="2"/>
        <v>1.7186973729182074E-2</v>
      </c>
      <c r="L20" s="157"/>
      <c r="M20" s="158"/>
      <c r="N20" s="245" t="s">
        <v>57</v>
      </c>
      <c r="O20" s="245"/>
      <c r="P20" s="245"/>
      <c r="Q20" s="245"/>
      <c r="R20" s="245"/>
      <c r="T20" s="152" t="s">
        <v>12</v>
      </c>
      <c r="U20" s="134">
        <f>('변경 스펙'!H20+IF($P$18="컨티4",'변경 스펙'!S20*140/12.1*8,IF($P$18="컨티5",'변경 스펙'!S20*160/12.1*8,IF($P$18="컨티6",'변경 스펙'!S20*195/12.1*8,0))))*IF($P$18="컨티4",(100+10/12.1*8+'변경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스펙'!S43*((100+80+'변경 스펙'!$D$10)/(100+'변경 스펙'!$D$10)-1)+'변경 스펙'!S66*((ROUNDDOWN(('변경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스펙'!Q43*((100+80+'변경 스펙'!$D$10)/(100+'변경 스펙'!$D$10)-1)+'변경 스펙'!Q66*((ROUNDDOWN(('변경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스펙'!Q43*((100+95+'변경 스펙'!$D$10)/(100+'변경 스펙'!$D$10)-1)+'변경 스펙'!Q66*((ROUNDDOWN(('변경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28843914182534.094</v>
      </c>
      <c r="V20" s="135">
        <f>'변경 스펙'!I20</f>
        <v>60</v>
      </c>
      <c r="W20" s="138">
        <f t="shared" si="3"/>
        <v>1.7186973729182074E-2</v>
      </c>
    </row>
    <row r="21" spans="2:23" s="1" customFormat="1" ht="33" customHeight="1" thickBot="1" x14ac:dyDescent="0.35">
      <c r="B21" s="172"/>
      <c r="C21" s="166" t="s">
        <v>77</v>
      </c>
      <c r="D21" s="165" t="s">
        <v>78</v>
      </c>
      <c r="E21" s="173"/>
      <c r="F21" s="132" t="s">
        <v>78</v>
      </c>
      <c r="H21" s="153" t="s">
        <v>25</v>
      </c>
      <c r="I21" s="134">
        <f>('원래 스펙'!H21+IF($D$18="컨티4",'원래 스펙'!S21*140/12.1*8,IF($D$18="컨티5",'원래 스펙'!S21*160/12.1*8,IF($D$18="컨티6",'원래 스펙'!S21*195/12.1*8,0))))*IF($D$18="컨티4",(100+10/12.1*8+'원래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스펙'!S44*((100+80+'원래 스펙'!$D$10)/(100+'원래 스펙'!$D$10)-1)+'원래 스펙'!S67*((ROUNDDOWN(('원래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스펙'!Q44*((100+80+'원래 스펙'!$D$10)/(100+'원래 스펙'!$D$10)-1)+'원래 스펙'!Q67*((ROUNDDOWN(('원래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스펙'!Q44*((100+95+'원래 스펙'!$D$10)/(100+'원래 스펙'!$D$10)-1)+'원래 스펙'!Q67*((ROUNDDOWN(('원래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8905022472911.0801</v>
      </c>
      <c r="J21" s="135">
        <f>'원래 스펙'!I21</f>
        <v>31</v>
      </c>
      <c r="K21" s="138">
        <f t="shared" si="2"/>
        <v>5.3061587387600671E-3</v>
      </c>
      <c r="L21" s="157"/>
      <c r="M21" s="158"/>
      <c r="N21" s="172"/>
      <c r="O21" s="166" t="s">
        <v>77</v>
      </c>
      <c r="P21" s="165" t="s">
        <v>78</v>
      </c>
      <c r="Q21" s="173"/>
      <c r="R21" s="132" t="s">
        <v>78</v>
      </c>
      <c r="T21" s="153" t="s">
        <v>25</v>
      </c>
      <c r="U21" s="134">
        <f>('변경 스펙'!H21+IF($P$18="컨티4",'변경 스펙'!S21*140/12.1*8,IF($P$18="컨티5",'변경 스펙'!S21*160/12.1*8,IF($P$18="컨티6",'변경 스펙'!S21*195/12.1*8,0))))*IF($P$18="컨티4",(100+10/12.1*8+'변경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스펙'!S44*((100+80+'변경 스펙'!$D$10)/(100+'변경 스펙'!$D$10)-1)+'변경 스펙'!S67*((ROUNDDOWN(('변경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스펙'!Q44*((100+80+'변경 스펙'!$D$10)/(100+'변경 스펙'!$D$10)-1)+'변경 스펙'!Q67*((ROUNDDOWN(('변경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스펙'!Q44*((100+95+'변경 스펙'!$D$10)/(100+'변경 스펙'!$D$10)-1)+'변경 스펙'!Q67*((ROUNDDOWN(('변경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8905022472911.0801</v>
      </c>
      <c r="V21" s="135">
        <f>'변경 스펙'!I21</f>
        <v>31</v>
      </c>
      <c r="W21" s="138">
        <f t="shared" si="3"/>
        <v>5.3061587387600671E-3</v>
      </c>
    </row>
    <row r="22" spans="2:23" s="1" customFormat="1" ht="33" customHeight="1" x14ac:dyDescent="0.3">
      <c r="B22" s="248" t="s">
        <v>59</v>
      </c>
      <c r="C22" s="164">
        <v>4</v>
      </c>
      <c r="D22" s="168">
        <f>'원래 스펙'!$Z$22</f>
        <v>0.11052216644521909</v>
      </c>
      <c r="E22" s="240" t="s">
        <v>113</v>
      </c>
      <c r="F22" s="179">
        <f>'원래 스펙'!$Z$24</f>
        <v>2.8521774911217244E-2</v>
      </c>
      <c r="H22" s="153" t="s">
        <v>138</v>
      </c>
      <c r="I22" s="134">
        <f>('원래 스펙'!H22+IF($D$18="컨티4",'원래 스펙'!S22*140/12.1*8,IF($D$18="컨티5",'원래 스펙'!S22*160/12.1*8,IF($D$18="컨티6",'원래 스펙'!S22*195/12.1*8,0))))*IF($D$18="컨티4",(100+10/12.1*8+'원래 스펙'!$D$10)/(100+'원래 스펙'!$D$10),IF($D$18="컨티5",(100+12/12.1*8+'원래 스펙'!$D$10)/(100+'원래 스펙'!$D$10),IF($D$18="컨티6",(100+14/12.1*8+'원래 스펙'!$D$10)/(100+'원래 스펙'!$D$10),1)))+IF($D$18="리레4",'원래 스펙'!S45*((100+80+'원래 스펙'!$D$10)/(100+'원래 스펙'!$D$10)-1)+'원래 스펙'!S68*((ROUNDDOWN(('원래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스펙'!$D$8,0))-1),IF($D$18="리레5",'원래 스펙'!Q45*((100+80+'원래 스펙'!$D$10)/(100+'원래 스펙'!$D$10)-1)+'원래 스펙'!Q68*((ROUNDDOWN(('원래 스펙'!$D$3+848*3.2)*('원래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스펙'!$D$8,0))-1),IF($D$18="리레6",'원래 스펙'!Q45*((100+95+'원래 스펙'!$D$10)/(100+'원래 스펙'!$D$10)-1)+'원래 스펙'!Q68*((ROUNDDOWN(('원래 스펙'!$D$3+848*3.85)*('원래 스펙'!$D$4+100)/100+'원래 스펙'!$D$5,0)*4+ROUNDDOWN('원래 스펙'!$D$6*('원래 스펙'!$D$7+100)/100+'원래 스펙'!$D$8,0))/(ROUNDDOWN('원래 스펙'!$D$3*('원래 스펙'!$D$4+100)/100+'원래 스펙'!$D$5,0)*4+ROUNDDOWN('원래 스펙'!$D$6*('원래 스펙'!$D$7+100)/100+'원래 스펙'!$D$8,0))-1),0)))</f>
        <v>8736517875624.8574</v>
      </c>
      <c r="J22" s="135">
        <f>'원래 스펙'!I22</f>
        <v>25</v>
      </c>
      <c r="K22" s="138">
        <f t="shared" si="2"/>
        <v>5.2057533614427824E-3</v>
      </c>
      <c r="L22" s="157"/>
      <c r="M22" s="158"/>
      <c r="N22" s="269" t="s">
        <v>59</v>
      </c>
      <c r="O22" s="164">
        <v>4</v>
      </c>
      <c r="P22" s="168">
        <f>'변경 스펙'!$Z$22</f>
        <v>0.11052216644521909</v>
      </c>
      <c r="Q22" s="268" t="s">
        <v>113</v>
      </c>
      <c r="R22" s="179">
        <f>'변경 스펙'!$Z$24</f>
        <v>2.8521774911217244E-2</v>
      </c>
      <c r="T22" s="153" t="s">
        <v>138</v>
      </c>
      <c r="U22" s="134">
        <f>('변경 스펙'!H22+IF($P$18="컨티4",'변경 스펙'!S22*140/12.1*8,IF($P$18="컨티5",'변경 스펙'!S22*160/12.1*8,IF($P$18="컨티6",'변경 스펙'!S22*195/12.1*8,0))))*IF($P$18="컨티4",(100+10/12.1*8+'변경 스펙'!$D$10)/(100+'변경 스펙'!$D$10),IF($P$18="컨티5",(100+12/12.1*8+'변경 스펙'!$D$10)/(100+'변경 스펙'!$D$10),IF($P$18="컨티6",(100+14/12.1*8+'변경 스펙'!$D$10)/(100+'변경 스펙'!$D$10),1)))+IF($P$18="리레4",'변경 스펙'!S45*((100+80+'변경 스펙'!$D$10)/(100+'변경 스펙'!$D$10)-1)+'변경 스펙'!S68*((ROUNDDOWN(('변경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스펙'!$D$8,0))-1),IF($P$18="리레5",'변경 스펙'!Q45*((100+80+'변경 스펙'!$D$10)/(100+'변경 스펙'!$D$10)-1)+'변경 스펙'!Q68*((ROUNDDOWN(('변경 스펙'!$D$3+848*3.2)*('변경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스펙'!$D$8,0))-1),IF($P$18="리레6",'변경 스펙'!Q45*((100+95+'변경 스펙'!$D$10)/(100+'변경 스펙'!$D$10)-1)+'변경 스펙'!Q68*((ROUNDDOWN(('변경 스펙'!$D$3+848*3.85)*('변경 스펙'!$D$4+100)/100+'변경 스펙'!$D$5,0)*4+ROUNDDOWN('변경 스펙'!$D$6*('변경 스펙'!$D$7+100)/100+'변경 스펙'!$D$8,0))/(ROUNDDOWN('변경 스펙'!$D$3*('변경 스펙'!$D$4+100)/100+'변경 스펙'!$D$5,0)*4+ROUNDDOWN('변경 스펙'!$D$6*('변경 스펙'!$D$7+100)/100+'변경 스펙'!$D$8,0))-1),0)))</f>
        <v>8736517875624.8574</v>
      </c>
      <c r="V22" s="135">
        <f>'변경 스펙'!I22</f>
        <v>25</v>
      </c>
      <c r="W22" s="138">
        <f t="shared" si="3"/>
        <v>5.2057533614427824E-3</v>
      </c>
    </row>
    <row r="23" spans="2:23" s="1" customFormat="1" ht="33" customHeight="1" thickBot="1" x14ac:dyDescent="0.35">
      <c r="B23" s="248"/>
      <c r="C23" s="127">
        <v>5</v>
      </c>
      <c r="D23" s="169">
        <f>'원래 스펙'!$AA$22</f>
        <v>0.1320855586239284</v>
      </c>
      <c r="E23" s="248"/>
      <c r="F23" s="180">
        <f>'원래 스펙'!$AA$24</f>
        <v>3.779145745978723E-2</v>
      </c>
      <c r="H23" s="154" t="s">
        <v>36</v>
      </c>
      <c r="I23" s="155">
        <f>SUM(I5:I22)</f>
        <v>1678242757394775.8</v>
      </c>
      <c r="J23" s="43"/>
      <c r="K23" s="139">
        <f>SUM(K5:K22)</f>
        <v>1.0000000000000002</v>
      </c>
      <c r="L23" s="157"/>
      <c r="M23" s="158"/>
      <c r="N23" s="266"/>
      <c r="O23" s="127">
        <v>5</v>
      </c>
      <c r="P23" s="169">
        <f>'변경 스펙'!$AA$22</f>
        <v>0.1320855586239284</v>
      </c>
      <c r="Q23" s="266"/>
      <c r="R23" s="180">
        <f>'변경 스펙'!$AA$24</f>
        <v>3.779145745978723E-2</v>
      </c>
      <c r="T23" s="154" t="s">
        <v>36</v>
      </c>
      <c r="U23" s="155">
        <f>SUM(U5:U22)</f>
        <v>1678242757394775.8</v>
      </c>
      <c r="V23" s="43"/>
      <c r="W23" s="139">
        <f>SUM(W5:W22)</f>
        <v>1.0000000000000002</v>
      </c>
    </row>
    <row r="24" spans="2:23" s="1" customFormat="1" ht="33" customHeight="1" thickBot="1" x14ac:dyDescent="0.35">
      <c r="B24" s="249"/>
      <c r="C24" s="156">
        <v>6</v>
      </c>
      <c r="D24" s="170">
        <f>'원래 스펙'!$AB$22</f>
        <v>0.15685160086591499</v>
      </c>
      <c r="E24" s="249"/>
      <c r="F24" s="181">
        <f>'원래 스펙'!$AB$24</f>
        <v>4.54672469599431E-2</v>
      </c>
      <c r="H24" s="368" t="s">
        <v>147</v>
      </c>
      <c r="I24" s="368"/>
      <c r="J24" s="368"/>
      <c r="K24" s="368"/>
      <c r="L24" s="157"/>
      <c r="M24" s="158"/>
      <c r="N24" s="270"/>
      <c r="O24" s="167">
        <v>6</v>
      </c>
      <c r="P24" s="176">
        <f>'변경 스펙'!$AB$22</f>
        <v>0.15685160086591499</v>
      </c>
      <c r="Q24" s="267"/>
      <c r="R24" s="181">
        <f>'변경 스펙'!$AB$24</f>
        <v>4.54672469599431E-2</v>
      </c>
      <c r="T24" s="107"/>
      <c r="U24" s="112"/>
    </row>
    <row r="25" spans="2:23" s="1" customFormat="1" ht="33" customHeight="1" thickBot="1" x14ac:dyDescent="0.35">
      <c r="B25" s="240" t="s">
        <v>58</v>
      </c>
      <c r="C25" s="160">
        <v>4</v>
      </c>
      <c r="D25" s="171">
        <f>'원래 스펙'!$W$22</f>
        <v>0.1276786025420098</v>
      </c>
      <c r="E25" s="250" t="s">
        <v>136</v>
      </c>
      <c r="F25" s="177">
        <f>'원래 스펙'!$W$23</f>
        <v>0.10798298071560231</v>
      </c>
      <c r="H25" s="369"/>
      <c r="I25" s="369"/>
      <c r="J25" s="369"/>
      <c r="K25" s="369"/>
      <c r="L25" s="157"/>
      <c r="M25" s="158"/>
      <c r="N25" s="268" t="s">
        <v>58</v>
      </c>
      <c r="O25" s="160">
        <v>4</v>
      </c>
      <c r="P25" s="171">
        <f>'변경 스펙'!$W$22</f>
        <v>0.1276786025420098</v>
      </c>
      <c r="Q25" s="265" t="s">
        <v>93</v>
      </c>
      <c r="R25" s="177">
        <f>'변경 스펙'!$W$23</f>
        <v>0.10798298071560231</v>
      </c>
      <c r="T25" s="263" t="s">
        <v>141</v>
      </c>
      <c r="U25" s="264"/>
      <c r="V25" s="264"/>
      <c r="W25" s="178">
        <f>U23/I23-1</f>
        <v>0</v>
      </c>
    </row>
    <row r="26" spans="2:23" s="1" customFormat="1" ht="33" customHeight="1" x14ac:dyDescent="0.3">
      <c r="B26" s="248"/>
      <c r="C26" s="127">
        <v>5</v>
      </c>
      <c r="D26" s="169">
        <f>'원래 스펙'!$X$22</f>
        <v>0.14817682630842688</v>
      </c>
      <c r="E26" s="251"/>
      <c r="F26" s="174">
        <f>'원래 스펙'!$X$23</f>
        <v>0.12797532609642204</v>
      </c>
      <c r="H26" s="2"/>
      <c r="I26" s="2"/>
      <c r="J26" s="2"/>
      <c r="K26" s="2"/>
      <c r="L26" s="2"/>
      <c r="M26" s="163"/>
      <c r="N26" s="266"/>
      <c r="O26" s="127">
        <v>5</v>
      </c>
      <c r="P26" s="169">
        <f>'변경 스펙'!$X$22</f>
        <v>0.14817682630842688</v>
      </c>
      <c r="Q26" s="266"/>
      <c r="R26" s="174">
        <f>'변경 스펙'!$X$23</f>
        <v>0.12797532609642204</v>
      </c>
      <c r="T26" s="2"/>
      <c r="U26" s="2"/>
      <c r="V26" s="2"/>
      <c r="W26" s="2"/>
    </row>
    <row r="27" spans="2:23" s="1" customFormat="1" ht="33" customHeight="1" thickBot="1" x14ac:dyDescent="0.35">
      <c r="B27" s="249"/>
      <c r="C27" s="156">
        <v>6</v>
      </c>
      <c r="D27" s="170">
        <f>'원래 스펙'!$Y$22</f>
        <v>0.17959512692953594</v>
      </c>
      <c r="E27" s="252"/>
      <c r="F27" s="175">
        <f>'원래 스펙'!$Y$23</f>
        <v>0.15861452898968942</v>
      </c>
      <c r="G27" s="2"/>
      <c r="H27" s="2"/>
      <c r="I27" s="2"/>
      <c r="J27" s="2"/>
      <c r="K27" s="2"/>
      <c r="L27" s="2"/>
      <c r="M27" s="163"/>
      <c r="N27" s="267"/>
      <c r="O27" s="156">
        <v>6</v>
      </c>
      <c r="P27" s="170">
        <f>'변경 스펙'!$Y$22</f>
        <v>0.17959512692953594</v>
      </c>
      <c r="Q27" s="267"/>
      <c r="R27" s="175">
        <f>'변경 스펙'!$Y$23</f>
        <v>0.15861452898968942</v>
      </c>
      <c r="S27" s="2"/>
      <c r="T27" s="2"/>
      <c r="U27" s="2"/>
      <c r="V27" s="2"/>
      <c r="W27" s="2"/>
    </row>
    <row r="28" spans="2:23" ht="33" customHeight="1" x14ac:dyDescent="0.3">
      <c r="B28" s="2"/>
      <c r="C28" s="2"/>
      <c r="D28" s="2"/>
      <c r="E28" s="2"/>
      <c r="F28" s="2"/>
      <c r="G28" s="2"/>
      <c r="H28" s="2"/>
      <c r="I28" s="2"/>
      <c r="J28" s="2"/>
      <c r="K28" s="2"/>
      <c r="M28" s="37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2:23" ht="33" customHeight="1" x14ac:dyDescent="0.3">
      <c r="B29" s="2"/>
      <c r="C29" s="2"/>
      <c r="D29" s="2"/>
      <c r="E29" s="2"/>
      <c r="F29" s="2"/>
      <c r="G29" s="2"/>
      <c r="H29" s="2"/>
      <c r="I29" s="2"/>
      <c r="J29" s="2"/>
      <c r="K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2:23" ht="33" customHeight="1" x14ac:dyDescent="0.3">
      <c r="B30" s="2"/>
      <c r="C30" s="2"/>
      <c r="D30" s="2"/>
      <c r="E30" s="2"/>
      <c r="F30" s="2"/>
      <c r="G30" s="2"/>
      <c r="H30" s="2"/>
      <c r="I30" s="2"/>
      <c r="J30" s="2"/>
      <c r="K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2:23" ht="33" customHeight="1" x14ac:dyDescent="0.3">
      <c r="B31" s="2"/>
      <c r="C31" s="2"/>
      <c r="D31" s="2"/>
      <c r="E31" s="2"/>
      <c r="F31" s="2"/>
      <c r="G31" s="2"/>
      <c r="H31" s="2"/>
      <c r="I31" s="2"/>
      <c r="J31" s="2"/>
      <c r="K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2:23" ht="33" customHeight="1" x14ac:dyDescent="0.3">
      <c r="B32" s="2"/>
      <c r="C32" s="2"/>
      <c r="D32" s="2"/>
      <c r="E32" s="2"/>
      <c r="F32" s="2"/>
      <c r="G32" s="2"/>
      <c r="H32" s="2"/>
      <c r="I32" s="2"/>
      <c r="J32" s="2"/>
      <c r="K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3:23" ht="33" customHeight="1" x14ac:dyDescent="0.3">
      <c r="C33" s="2"/>
      <c r="D33" s="2"/>
      <c r="E33" s="2"/>
      <c r="F33" s="2"/>
      <c r="G33" s="2"/>
      <c r="H33" s="47"/>
      <c r="I33" s="47"/>
      <c r="O33" s="2"/>
      <c r="P33" s="2"/>
      <c r="Q33" s="2"/>
      <c r="R33" s="2"/>
      <c r="S33" s="2"/>
      <c r="T33" s="47"/>
      <c r="U33" s="47"/>
    </row>
    <row r="34" spans="3:23" ht="33" customHeight="1" x14ac:dyDescent="0.3">
      <c r="C34" s="2"/>
      <c r="D34" s="2"/>
      <c r="E34" s="2"/>
      <c r="F34" s="2"/>
      <c r="G34" s="47"/>
      <c r="O34" s="2"/>
      <c r="P34" s="2"/>
      <c r="Q34" s="2"/>
      <c r="R34" s="2"/>
      <c r="S34" s="47"/>
    </row>
    <row r="35" spans="3:23" ht="33" customHeight="1" x14ac:dyDescent="0.3">
      <c r="C35" s="47"/>
      <c r="D35" s="47"/>
      <c r="E35" s="47"/>
      <c r="F35" s="47"/>
      <c r="H35" s="2"/>
      <c r="I35" s="2"/>
      <c r="J35" s="2"/>
      <c r="K35" s="2"/>
      <c r="O35" s="47"/>
      <c r="P35" s="47"/>
      <c r="Q35" s="47"/>
      <c r="R35" s="47"/>
      <c r="T35" s="2"/>
      <c r="U35" s="2"/>
      <c r="V35" s="2"/>
      <c r="W35" s="2"/>
    </row>
    <row r="36" spans="3:23" ht="33" customHeight="1" x14ac:dyDescent="0.3">
      <c r="G36" s="2"/>
      <c r="H36" s="2"/>
      <c r="I36" s="2"/>
      <c r="J36" s="2"/>
      <c r="K36" s="2"/>
      <c r="S36" s="2"/>
      <c r="T36" s="2"/>
      <c r="U36" s="2"/>
      <c r="V36" s="2"/>
      <c r="W36" s="2"/>
    </row>
    <row r="37" spans="3:23" ht="33" customHeight="1" x14ac:dyDescent="0.3">
      <c r="G37" s="2"/>
      <c r="H37" s="2"/>
      <c r="I37" s="2"/>
      <c r="J37" s="2"/>
      <c r="K37" s="2"/>
      <c r="S37" s="2"/>
      <c r="T37" s="2"/>
      <c r="U37" s="2"/>
      <c r="V37" s="2"/>
      <c r="W37" s="2"/>
    </row>
    <row r="38" spans="3:23" ht="33" customHeight="1" x14ac:dyDescent="0.3">
      <c r="G38" s="2"/>
      <c r="H38" s="2"/>
      <c r="I38" s="2"/>
      <c r="J38" s="2"/>
      <c r="K38" s="2"/>
      <c r="S38" s="2"/>
      <c r="T38" s="2"/>
      <c r="U38" s="2"/>
      <c r="V38" s="2"/>
      <c r="W38" s="2"/>
    </row>
    <row r="39" spans="3:23" ht="33" customHeight="1" x14ac:dyDescent="0.3">
      <c r="G39" s="2"/>
      <c r="H39" s="2"/>
      <c r="I39" s="2"/>
      <c r="J39" s="2"/>
      <c r="K39" s="2"/>
      <c r="S39" s="2"/>
      <c r="T39" s="2"/>
      <c r="U39" s="2"/>
      <c r="V39" s="2"/>
      <c r="W39" s="2"/>
    </row>
    <row r="40" spans="3:23" ht="33" customHeight="1" x14ac:dyDescent="0.3">
      <c r="G40" s="2"/>
      <c r="S40" s="2"/>
    </row>
    <row r="41" spans="3:23" ht="33" customHeight="1" x14ac:dyDescent="0.3">
      <c r="G41"/>
      <c r="S41"/>
    </row>
    <row r="42" spans="3:23" ht="33" customHeight="1" x14ac:dyDescent="0.3"/>
    <row r="43" spans="3:23" ht="33" customHeight="1" x14ac:dyDescent="0.3"/>
    <row r="44" spans="3:23" ht="33" customHeight="1" x14ac:dyDescent="0.3"/>
    <row r="45" spans="3:23" ht="33" customHeight="1" x14ac:dyDescent="0.3"/>
    <row r="46" spans="3:23" ht="33" customHeight="1" x14ac:dyDescent="0.3"/>
    <row r="47" spans="3:23" ht="33" customHeight="1" x14ac:dyDescent="0.3"/>
    <row r="48" spans="3:23" ht="33" customHeight="1" x14ac:dyDescent="0.3"/>
    <row r="49" ht="33" customHeight="1" x14ac:dyDescent="0.3"/>
    <row r="50" ht="33" customHeight="1" x14ac:dyDescent="0.3"/>
    <row r="51" ht="33" customHeight="1" x14ac:dyDescent="0.3"/>
    <row r="52" ht="33" customHeight="1" x14ac:dyDescent="0.3"/>
    <row r="53" ht="33" customHeight="1" x14ac:dyDescent="0.3"/>
    <row r="54" ht="33" customHeight="1" x14ac:dyDescent="0.3"/>
    <row r="55" ht="33" customHeight="1" x14ac:dyDescent="0.3"/>
    <row r="56" ht="33" customHeight="1" x14ac:dyDescent="0.3"/>
    <row r="57" ht="33" customHeight="1" x14ac:dyDescent="0.3"/>
    <row r="58" ht="33" customHeight="1" x14ac:dyDescent="0.3"/>
    <row r="59" ht="33" customHeight="1" x14ac:dyDescent="0.3"/>
    <row r="60" ht="33" customHeight="1" x14ac:dyDescent="0.3"/>
    <row r="61" ht="33" customHeight="1" x14ac:dyDescent="0.3"/>
    <row r="62" ht="33" customHeight="1" x14ac:dyDescent="0.3"/>
    <row r="63" ht="33" customHeight="1" x14ac:dyDescent="0.3"/>
    <row r="64" ht="33" customHeight="1" x14ac:dyDescent="0.3"/>
    <row r="65" ht="33" customHeight="1" x14ac:dyDescent="0.3"/>
    <row r="66" ht="33" customHeight="1" x14ac:dyDescent="0.3"/>
    <row r="67" ht="33" customHeight="1" x14ac:dyDescent="0.3"/>
    <row r="68" ht="33" customHeight="1" x14ac:dyDescent="0.3"/>
    <row r="69" ht="33" customHeight="1" x14ac:dyDescent="0.3"/>
    <row r="70" ht="33" customHeight="1" x14ac:dyDescent="0.3"/>
    <row r="71" ht="33" customHeight="1" x14ac:dyDescent="0.3"/>
    <row r="72" ht="33" customHeight="1" x14ac:dyDescent="0.3"/>
    <row r="73" ht="33" customHeight="1" x14ac:dyDescent="0.3"/>
    <row r="74" ht="33" customHeight="1" x14ac:dyDescent="0.3"/>
    <row r="75" ht="33" customHeight="1" x14ac:dyDescent="0.3"/>
    <row r="76" ht="33" customHeight="1" x14ac:dyDescent="0.3"/>
    <row r="77" ht="33" customHeight="1" x14ac:dyDescent="0.3"/>
    <row r="78" ht="33" customHeight="1" x14ac:dyDescent="0.3"/>
    <row r="79" ht="33" customHeight="1" x14ac:dyDescent="0.3"/>
    <row r="80" ht="33" customHeight="1" x14ac:dyDescent="0.3"/>
    <row r="81" ht="33" customHeight="1" x14ac:dyDescent="0.3"/>
    <row r="82" ht="33" customHeight="1" x14ac:dyDescent="0.3"/>
    <row r="83" ht="33" customHeight="1" x14ac:dyDescent="0.3"/>
    <row r="84" ht="33" customHeight="1" x14ac:dyDescent="0.3"/>
    <row r="85" ht="33" customHeight="1" x14ac:dyDescent="0.3"/>
    <row r="86" ht="33" customHeight="1" x14ac:dyDescent="0.3"/>
    <row r="87" ht="33" customHeight="1" x14ac:dyDescent="0.3"/>
    <row r="88" ht="33" customHeight="1" x14ac:dyDescent="0.3"/>
    <row r="89" ht="33" customHeight="1" x14ac:dyDescent="0.3"/>
    <row r="90" ht="33" customHeight="1" x14ac:dyDescent="0.3"/>
    <row r="91" ht="33" customHeight="1" x14ac:dyDescent="0.3"/>
    <row r="92" ht="33" customHeight="1" x14ac:dyDescent="0.3"/>
    <row r="93" ht="33" customHeight="1" x14ac:dyDescent="0.3"/>
    <row r="94" ht="33" customHeight="1" x14ac:dyDescent="0.3"/>
    <row r="95" ht="33" customHeight="1" x14ac:dyDescent="0.3"/>
    <row r="96" ht="33" customHeight="1" x14ac:dyDescent="0.3"/>
    <row r="97" spans="8:23" ht="33" customHeight="1" x14ac:dyDescent="0.3"/>
    <row r="98" spans="8:23" s="1" customFormat="1" ht="33" customHeight="1" x14ac:dyDescent="0.3">
      <c r="H98"/>
      <c r="I98"/>
      <c r="J98"/>
      <c r="K98"/>
      <c r="L98" s="2"/>
      <c r="M98" s="2"/>
      <c r="T98"/>
      <c r="U98"/>
      <c r="V98"/>
      <c r="W98"/>
    </row>
    <row r="99" spans="8:23" s="1" customFormat="1" ht="33" customHeight="1" x14ac:dyDescent="0.3">
      <c r="H99"/>
      <c r="I99"/>
      <c r="J99"/>
      <c r="K99"/>
      <c r="L99" s="2"/>
      <c r="M99" s="2"/>
      <c r="T99"/>
      <c r="U99"/>
      <c r="V99"/>
      <c r="W99"/>
    </row>
    <row r="100" spans="8:23" s="1" customFormat="1" ht="33" customHeight="1" x14ac:dyDescent="0.3">
      <c r="H100"/>
      <c r="I100"/>
      <c r="J100"/>
      <c r="K100"/>
      <c r="L100" s="2"/>
      <c r="M100" s="2"/>
      <c r="T100"/>
      <c r="U100"/>
      <c r="V100"/>
      <c r="W100"/>
    </row>
    <row r="101" spans="8:23" s="1" customFormat="1" ht="33" customHeight="1" x14ac:dyDescent="0.3">
      <c r="H101"/>
      <c r="I101"/>
      <c r="J101"/>
      <c r="K101"/>
      <c r="L101" s="2"/>
      <c r="M101" s="2"/>
      <c r="T101"/>
      <c r="U101"/>
      <c r="V101"/>
      <c r="W101"/>
    </row>
    <row r="102" spans="8:23" s="1" customFormat="1" ht="33" customHeight="1" x14ac:dyDescent="0.3">
      <c r="H102"/>
      <c r="I102"/>
      <c r="J102"/>
      <c r="K102"/>
      <c r="L102" s="2"/>
      <c r="M102" s="2"/>
      <c r="T102"/>
      <c r="U102"/>
      <c r="V102"/>
      <c r="W102"/>
    </row>
    <row r="103" spans="8:23" s="1" customFormat="1" ht="33" customHeight="1" x14ac:dyDescent="0.3">
      <c r="H103"/>
      <c r="I103"/>
      <c r="J103"/>
      <c r="K103"/>
      <c r="L103" s="2"/>
      <c r="M103" s="2"/>
      <c r="T103"/>
      <c r="U103"/>
      <c r="V103"/>
      <c r="W103"/>
    </row>
    <row r="104" spans="8:23" s="1" customFormat="1" ht="33" customHeight="1" x14ac:dyDescent="0.3">
      <c r="H104"/>
      <c r="I104"/>
      <c r="J104"/>
      <c r="K104"/>
      <c r="L104" s="2"/>
      <c r="M104" s="2"/>
      <c r="T104"/>
      <c r="U104"/>
      <c r="V104"/>
      <c r="W104"/>
    </row>
    <row r="105" spans="8:23" s="1" customFormat="1" ht="33" customHeight="1" x14ac:dyDescent="0.3">
      <c r="H105"/>
      <c r="I105"/>
      <c r="J105"/>
      <c r="K105"/>
      <c r="L105" s="2"/>
      <c r="M105" s="2"/>
      <c r="T105"/>
      <c r="U105"/>
      <c r="V105"/>
      <c r="W105"/>
    </row>
    <row r="106" spans="8:23" s="1" customFormat="1" ht="33" customHeight="1" x14ac:dyDescent="0.3">
      <c r="H106"/>
      <c r="I106"/>
      <c r="J106"/>
      <c r="K106"/>
      <c r="L106" s="2"/>
      <c r="M106" s="2"/>
      <c r="T106"/>
      <c r="U106"/>
      <c r="V106"/>
      <c r="W106"/>
    </row>
    <row r="107" spans="8:23" s="1" customFormat="1" ht="33" customHeight="1" x14ac:dyDescent="0.3">
      <c r="H107"/>
      <c r="I107"/>
      <c r="J107"/>
      <c r="K107"/>
      <c r="L107" s="2"/>
      <c r="M107" s="2"/>
      <c r="T107"/>
      <c r="U107"/>
      <c r="V107"/>
      <c r="W107"/>
    </row>
    <row r="108" spans="8:23" s="1" customFormat="1" ht="33" customHeight="1" x14ac:dyDescent="0.3">
      <c r="H108"/>
      <c r="I108"/>
      <c r="J108"/>
      <c r="K108"/>
      <c r="L108" s="2"/>
      <c r="M108" s="2"/>
      <c r="T108"/>
      <c r="U108"/>
      <c r="V108"/>
      <c r="W108"/>
    </row>
    <row r="109" spans="8:23" s="1" customFormat="1" ht="33" customHeight="1" x14ac:dyDescent="0.3">
      <c r="H109"/>
      <c r="I109"/>
      <c r="J109"/>
      <c r="K109"/>
      <c r="L109" s="2"/>
      <c r="M109" s="2"/>
      <c r="T109"/>
      <c r="U109"/>
      <c r="V109"/>
      <c r="W109"/>
    </row>
    <row r="110" spans="8:23" s="1" customFormat="1" ht="33" customHeight="1" x14ac:dyDescent="0.3">
      <c r="H110"/>
      <c r="I110"/>
      <c r="J110"/>
      <c r="K110"/>
      <c r="L110" s="2"/>
      <c r="M110" s="2"/>
      <c r="T110"/>
      <c r="U110"/>
      <c r="V110"/>
      <c r="W110"/>
    </row>
    <row r="111" spans="8:23" s="1" customFormat="1" ht="33" customHeight="1" x14ac:dyDescent="0.3">
      <c r="H111"/>
      <c r="I111"/>
      <c r="J111"/>
      <c r="K111"/>
      <c r="L111" s="2"/>
      <c r="M111" s="2"/>
      <c r="T111"/>
      <c r="U111"/>
      <c r="V111"/>
      <c r="W111"/>
    </row>
    <row r="112" spans="8:23" s="1" customFormat="1" ht="33" customHeight="1" x14ac:dyDescent="0.3">
      <c r="H112"/>
      <c r="I112"/>
      <c r="J112"/>
      <c r="K112"/>
      <c r="L112" s="2"/>
      <c r="M112" s="2"/>
      <c r="T112"/>
      <c r="U112"/>
      <c r="V112"/>
      <c r="W112"/>
    </row>
    <row r="113" spans="8:23" s="1" customFormat="1" ht="33" customHeight="1" x14ac:dyDescent="0.3">
      <c r="H113"/>
      <c r="I113"/>
      <c r="J113"/>
      <c r="K113"/>
      <c r="L113" s="2"/>
      <c r="M113" s="2"/>
      <c r="T113"/>
      <c r="U113"/>
      <c r="V113"/>
      <c r="W113"/>
    </row>
  </sheetData>
  <sheetProtection algorithmName="SHA-512" hashValue="+wPHgNJRGERKjm0LXekeVhqLZ8DMUJKyNIHOuPLhX/htVI+HovHTX3Kt0cM+Ze6QI+yh3TbZ0d6hKk9jz8A7uw==" saltValue="TKiSdS1aHPa2uSddetc+bg==" spinCount="100000" sheet="1" objects="1" scenarios="1"/>
  <mergeCells count="67">
    <mergeCell ref="H24:K25"/>
    <mergeCell ref="H7:H8"/>
    <mergeCell ref="T7:T8"/>
    <mergeCell ref="E18:G18"/>
    <mergeCell ref="T25:V25"/>
    <mergeCell ref="N17:O17"/>
    <mergeCell ref="N18:O18"/>
    <mergeCell ref="N19:R19"/>
    <mergeCell ref="N15:O15"/>
    <mergeCell ref="N16:O16"/>
    <mergeCell ref="Q25:Q27"/>
    <mergeCell ref="Q22:Q24"/>
    <mergeCell ref="N25:N27"/>
    <mergeCell ref="N22:N24"/>
    <mergeCell ref="N20:R20"/>
    <mergeCell ref="I7:I8"/>
    <mergeCell ref="B25:B27"/>
    <mergeCell ref="E25:E27"/>
    <mergeCell ref="B18:C18"/>
    <mergeCell ref="B19:F19"/>
    <mergeCell ref="B17:C17"/>
    <mergeCell ref="B22:B24"/>
    <mergeCell ref="E22:E24"/>
    <mergeCell ref="W7:W8"/>
    <mergeCell ref="N9:N10"/>
    <mergeCell ref="R10:R11"/>
    <mergeCell ref="N11:O11"/>
    <mergeCell ref="N12:O12"/>
    <mergeCell ref="R12:R14"/>
    <mergeCell ref="N13:O13"/>
    <mergeCell ref="N14:O14"/>
    <mergeCell ref="U7:U8"/>
    <mergeCell ref="V7:V8"/>
    <mergeCell ref="T1:W1"/>
    <mergeCell ref="U2:U4"/>
    <mergeCell ref="V2:V4"/>
    <mergeCell ref="W2:W4"/>
    <mergeCell ref="H1:K1"/>
    <mergeCell ref="Q3:R3"/>
    <mergeCell ref="T2:T4"/>
    <mergeCell ref="H2:H4"/>
    <mergeCell ref="N1:R1"/>
    <mergeCell ref="N2:R2"/>
    <mergeCell ref="E1:F1"/>
    <mergeCell ref="E2:F2"/>
    <mergeCell ref="B15:C15"/>
    <mergeCell ref="B6:B8"/>
    <mergeCell ref="B2:D2"/>
    <mergeCell ref="B3:B5"/>
    <mergeCell ref="B1:D1"/>
    <mergeCell ref="E3:F3"/>
    <mergeCell ref="B16:C16"/>
    <mergeCell ref="B20:F20"/>
    <mergeCell ref="B9:B10"/>
    <mergeCell ref="B11:C11"/>
    <mergeCell ref="B12:C12"/>
    <mergeCell ref="B13:C13"/>
    <mergeCell ref="B14:C14"/>
    <mergeCell ref="F12:F14"/>
    <mergeCell ref="F10:F11"/>
    <mergeCell ref="J7:J8"/>
    <mergeCell ref="K7:K8"/>
    <mergeCell ref="N3:N5"/>
    <mergeCell ref="N6:N8"/>
    <mergeCell ref="I2:I4"/>
    <mergeCell ref="J2:J4"/>
    <mergeCell ref="K2:K4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9EC09-F29B-4367-A58A-56530C6F8C84}">
  <sheetPr codeName="Sheet2"/>
  <dimension ref="B1:AF112"/>
  <sheetViews>
    <sheetView showGridLines="0" zoomScale="85" zoomScaleNormal="85" zoomScaleSheetLayoutView="100" workbookViewId="0">
      <selection activeCell="R5" sqref="R5"/>
    </sheetView>
  </sheetViews>
  <sheetFormatPr defaultColWidth="8.875" defaultRowHeight="16.5" x14ac:dyDescent="0.3"/>
  <cols>
    <col min="1" max="1" width="3.625" customWidth="1"/>
    <col min="2" max="5" width="12.625" style="1" customWidth="1"/>
    <col min="6" max="6" width="8.875" style="1"/>
    <col min="7" max="7" width="14.375" bestFit="1" customWidth="1"/>
    <col min="8" max="8" width="15.625" customWidth="1"/>
    <col min="9" max="12" width="10.625" customWidth="1"/>
    <col min="13" max="15" width="12.625" customWidth="1"/>
    <col min="16" max="23" width="15.625" customWidth="1"/>
    <col min="24" max="24" width="10.625" customWidth="1"/>
    <col min="25" max="32" width="10.625" style="2" customWidth="1"/>
  </cols>
  <sheetData>
    <row r="1" spans="2:32" ht="33" customHeight="1" x14ac:dyDescent="0.3">
      <c r="B1" s="239" t="s">
        <v>43</v>
      </c>
      <c r="C1" s="239"/>
      <c r="D1" s="239"/>
      <c r="E1" s="99"/>
      <c r="G1" s="243" t="s">
        <v>15</v>
      </c>
      <c r="H1" s="214" t="s">
        <v>33</v>
      </c>
      <c r="I1" s="216" t="s">
        <v>34</v>
      </c>
      <c r="J1" s="218" t="s">
        <v>35</v>
      </c>
      <c r="K1" s="271" t="s">
        <v>0</v>
      </c>
      <c r="L1" s="302" t="s">
        <v>14</v>
      </c>
      <c r="M1" s="305" t="s">
        <v>1</v>
      </c>
      <c r="N1" s="306"/>
      <c r="O1" s="307"/>
      <c r="P1" s="308" t="s">
        <v>29</v>
      </c>
      <c r="Q1" s="309"/>
      <c r="R1" s="309"/>
      <c r="S1" s="310"/>
      <c r="T1" s="115"/>
      <c r="U1" s="27"/>
      <c r="V1" s="105"/>
      <c r="W1" s="311" t="s">
        <v>45</v>
      </c>
      <c r="X1" s="312"/>
      <c r="Y1" s="313"/>
      <c r="Z1" s="311" t="s">
        <v>46</v>
      </c>
      <c r="AA1" s="312"/>
      <c r="AB1" s="314"/>
      <c r="AD1"/>
      <c r="AE1"/>
      <c r="AF1"/>
    </row>
    <row r="2" spans="2:32" ht="33" customHeight="1" thickBot="1" x14ac:dyDescent="0.35">
      <c r="B2" s="237" t="s">
        <v>116</v>
      </c>
      <c r="C2" s="238"/>
      <c r="D2" s="315"/>
      <c r="E2" s="100"/>
      <c r="G2" s="244"/>
      <c r="H2" s="215"/>
      <c r="I2" s="217"/>
      <c r="J2" s="219"/>
      <c r="K2" s="272"/>
      <c r="L2" s="303"/>
      <c r="M2" s="122" t="s">
        <v>28</v>
      </c>
      <c r="N2" s="280"/>
      <c r="O2" s="316"/>
      <c r="P2" s="12" t="s">
        <v>28</v>
      </c>
      <c r="Q2" s="280"/>
      <c r="R2" s="316"/>
      <c r="S2" s="290" t="s">
        <v>36</v>
      </c>
      <c r="T2" s="35"/>
      <c r="U2" s="1"/>
      <c r="V2" s="19" t="s">
        <v>47</v>
      </c>
      <c r="W2" s="56">
        <v>4</v>
      </c>
      <c r="X2" s="56">
        <v>5</v>
      </c>
      <c r="Y2" s="56">
        <v>6</v>
      </c>
      <c r="Z2" s="56">
        <v>4</v>
      </c>
      <c r="AA2" s="56">
        <v>5</v>
      </c>
      <c r="AB2" s="57">
        <v>6</v>
      </c>
      <c r="AD2"/>
      <c r="AE2"/>
      <c r="AF2"/>
    </row>
    <row r="3" spans="2:32" ht="33" customHeight="1" x14ac:dyDescent="0.3">
      <c r="B3" s="209" t="s">
        <v>2</v>
      </c>
      <c r="C3" s="140" t="s">
        <v>3</v>
      </c>
      <c r="D3" s="147">
        <f>계산기!D3</f>
        <v>7953</v>
      </c>
      <c r="G3" s="274"/>
      <c r="H3" s="275"/>
      <c r="I3" s="276"/>
      <c r="J3" s="277"/>
      <c r="K3" s="273"/>
      <c r="L3" s="303"/>
      <c r="M3" s="278" t="s">
        <v>4</v>
      </c>
      <c r="N3" s="279"/>
      <c r="O3" s="16"/>
      <c r="P3" s="279" t="s">
        <v>4</v>
      </c>
      <c r="Q3" s="279"/>
      <c r="R3" s="16"/>
      <c r="S3" s="291"/>
      <c r="T3" s="35"/>
      <c r="U3" s="1"/>
      <c r="V3" s="19" t="s">
        <v>48</v>
      </c>
      <c r="W3" s="15" t="s">
        <v>50</v>
      </c>
      <c r="X3" s="280" t="s">
        <v>49</v>
      </c>
      <c r="Y3" s="281"/>
      <c r="Z3" s="17" t="s">
        <v>51</v>
      </c>
      <c r="AA3" s="17" t="s">
        <v>52</v>
      </c>
      <c r="AB3" s="58" t="s">
        <v>53</v>
      </c>
      <c r="AD3"/>
      <c r="AE3"/>
      <c r="AF3"/>
    </row>
    <row r="4" spans="2:32" ht="33" customHeight="1" thickBot="1" x14ac:dyDescent="0.35">
      <c r="B4" s="210"/>
      <c r="C4" s="141" t="s">
        <v>5</v>
      </c>
      <c r="D4" s="144">
        <f>계산기!D4</f>
        <v>770</v>
      </c>
      <c r="G4" s="65" t="s">
        <v>94</v>
      </c>
      <c r="H4" s="103"/>
      <c r="I4" s="103"/>
      <c r="J4" s="104"/>
      <c r="K4" s="80">
        <f>계산기!F4</f>
        <v>30</v>
      </c>
      <c r="L4" s="304"/>
      <c r="M4" s="282" t="s">
        <v>114</v>
      </c>
      <c r="N4" s="283"/>
      <c r="O4" s="284"/>
      <c r="P4" s="285" t="s">
        <v>114</v>
      </c>
      <c r="Q4" s="286"/>
      <c r="R4" s="287"/>
      <c r="S4" s="292"/>
      <c r="T4" s="35"/>
      <c r="U4" s="1"/>
      <c r="V4" s="20" t="s">
        <v>56</v>
      </c>
      <c r="W4" s="45" t="s">
        <v>54</v>
      </c>
      <c r="X4" s="288" t="s">
        <v>55</v>
      </c>
      <c r="Y4" s="289"/>
      <c r="Z4" s="295" t="str">
        <f>"8 / 12"</f>
        <v>8 / 12</v>
      </c>
      <c r="AA4" s="296"/>
      <c r="AB4" s="297"/>
      <c r="AD4"/>
      <c r="AE4"/>
      <c r="AF4"/>
    </row>
    <row r="5" spans="2:32" ht="33" customHeight="1" thickBot="1" x14ac:dyDescent="0.35">
      <c r="B5" s="213"/>
      <c r="C5" s="142" t="s">
        <v>6</v>
      </c>
      <c r="D5" s="145">
        <f>계산기!D5</f>
        <v>30410</v>
      </c>
      <c r="G5" s="66" t="s">
        <v>23</v>
      </c>
      <c r="H5" s="101">
        <f>S5*기준표!T5+(S5*($D$13-기준표!$D$13))</f>
        <v>336539688744127.5</v>
      </c>
      <c r="I5" s="102">
        <v>403</v>
      </c>
      <c r="J5" s="18">
        <f>H5/$H$23</f>
        <v>0.23459660119308307</v>
      </c>
      <c r="K5" s="81">
        <f>계산기!F8</f>
        <v>30</v>
      </c>
      <c r="L5" s="77">
        <f>2.2*(350+6*$K$5)*11</f>
        <v>12826</v>
      </c>
      <c r="M5" s="37">
        <v>0</v>
      </c>
      <c r="N5" s="38">
        <f>ROUNDDOWN(I5/89*(65+3-24+ROUNDUP($K$4/2,0)),0)</f>
        <v>267</v>
      </c>
      <c r="O5" s="39">
        <f>I5-M5-N5</f>
        <v>136</v>
      </c>
      <c r="P5" s="120">
        <f t="shared" ref="P5:P22" si="0">(ROUNDDOWN(($D$3+4)*($D$4+100)/100+$D$5,0)*4+ROUNDDOWN(($D$6+4)*($D$7+100)/100+$D$8,0))*0.01*ROUNDDOWN(($D$9+104)*($D$10+100)/100,0)*($D$11+135)/100*0.955*1.24*(1.25*1.2*1.25*1.23*1.1)*(1.1*(134+ROUNDDOWN($K$4/5,0))/100*1.06)*1.2*$L5/100*M5*0.01</f>
        <v>0</v>
      </c>
      <c r="Q5" s="116">
        <f>(ROUNDDOWN(($D$3+4)*($D$4+100)/100+$D$5,0)*4+ROUNDDOWN(($D$6+4)*($D$7+100)/100+$D$8,0))*0.01*ROUNDDOWN(($D$9+104)*($D$10+100)/100,0)*($D$11+135)/100*0.955*1.24*(1.25*1.2*1.25*1.23*1.1)*((134+ROUNDDOWN($K$4/5,0))/100*1.06)*1.2*$L5/100*N5*0.01*(1-(3.8*0.8*0.8*0.91*(100-$D$12)/100))</f>
        <v>255124914398.0975</v>
      </c>
      <c r="R5" s="117">
        <f>(ROUNDDOWN(($D$3+4)*($D$4+100)/100+$D$5,0)*4+ROUNDDOWN(($D$6+4)*($D$7+100)/100+$D$8,0))*0.01*ROUNDDOWN(($D$9+104)*($D$10+100)/100,0)*($D$11+135)/100*0.955*1.24*(1.25*1.2*1.25*1.23*1.1)*(1.06)*1.2*$L5/100*O5*0.01*(1-(3.8*0.8*0.8*0.91*(100-$D$12)/100))</f>
        <v>92822333756.397156</v>
      </c>
      <c r="S5" s="67">
        <f t="shared" ref="S5:S22" si="1">SUM(P5:R5)</f>
        <v>347947248154.49463</v>
      </c>
      <c r="T5" s="112"/>
      <c r="U5" s="3"/>
      <c r="V5" s="2"/>
      <c r="W5" s="2"/>
      <c r="X5" s="2"/>
      <c r="AD5"/>
      <c r="AE5"/>
      <c r="AF5"/>
    </row>
    <row r="6" spans="2:32" ht="33" customHeight="1" thickTop="1" x14ac:dyDescent="0.3">
      <c r="B6" s="223" t="s">
        <v>7</v>
      </c>
      <c r="C6" s="143" t="s">
        <v>3</v>
      </c>
      <c r="D6" s="146">
        <f>계산기!D6</f>
        <v>4026</v>
      </c>
      <c r="G6" s="68" t="s">
        <v>30</v>
      </c>
      <c r="H6" s="101">
        <f>S6*기준표!T6+(S6*($D$13-기준표!$D$13))</f>
        <v>48961144330996.352</v>
      </c>
      <c r="I6" s="15">
        <v>164</v>
      </c>
      <c r="J6" s="18">
        <f>H6/$H$23</f>
        <v>3.4130054893194699E-2</v>
      </c>
      <c r="K6" s="298">
        <f>계산기!F10</f>
        <v>30</v>
      </c>
      <c r="L6" s="78">
        <f>2.2*(243+8*$K$6)*4</f>
        <v>4250.4000000000005</v>
      </c>
      <c r="M6" s="40">
        <f>ROUNDDOWN(I6/113*24,0)</f>
        <v>34</v>
      </c>
      <c r="N6" s="36">
        <f>ROUNDDOWN(I6/113*(65+3-24+ROUNDUP($K$4/2,0)),0)</f>
        <v>85</v>
      </c>
      <c r="O6" s="41">
        <f>I6-M6-N6</f>
        <v>45</v>
      </c>
      <c r="P6" s="33">
        <f t="shared" si="0"/>
        <v>12496746137.88479</v>
      </c>
      <c r="Q6" s="34">
        <f>(ROUNDDOWN(($D$3+4)*($D$4+100)/100+$D$5,0)*4+ROUNDDOWN(($D$6+4)*($D$7+100)/100+$D$8,0))*0.01*ROUNDDOWN(($D$9+104)*($D$10+100)/100,0)*($D$11+135)/100*0.955*1.24*(1.25*1.2*1.25*1.23*1.1)*((134+ROUNDDOWN($K$4/5,0))/100*1.06)*1.2*$L6/100*N6*0.01*(1-(3.8*0.8*0.91*(100-$D$12)/100))</f>
        <v>26543691670.196125</v>
      </c>
      <c r="R6" s="118">
        <f>(ROUNDDOWN(($D$3+4)*($D$4+100)/100+$D$5,0)*4+ROUNDDOWN(($D$6+4)*($D$7+100)/100+$D$8,0))*0.01*ROUNDDOWN(($D$9+104)*($D$10+100)/100,0)*($D$11+135)/100*0.955*1.24*(1.25*1.2*1.25*1.23*1.1)*(1.06)*1.2*$L6/100*O6*0.01*(1-(3.8*0.8*0.91*(100-$D$12)/100))</f>
        <v>10037530463.519543</v>
      </c>
      <c r="S6" s="67">
        <f t="shared" si="1"/>
        <v>49077968271.600464</v>
      </c>
      <c r="T6" s="112"/>
      <c r="U6" s="1"/>
      <c r="V6" s="2" t="s">
        <v>37</v>
      </c>
      <c r="W6" s="2"/>
      <c r="X6" s="2"/>
      <c r="AD6"/>
      <c r="AE6"/>
      <c r="AF6"/>
    </row>
    <row r="7" spans="2:32" ht="33" customHeight="1" x14ac:dyDescent="0.3">
      <c r="B7" s="210"/>
      <c r="C7" s="141" t="s">
        <v>5</v>
      </c>
      <c r="D7" s="144">
        <f>계산기!D7</f>
        <v>240</v>
      </c>
      <c r="G7" s="68" t="s">
        <v>31</v>
      </c>
      <c r="H7" s="299">
        <f>(S7+S8)*기준표!T7+((S7+S8)*($D$13-기준표!$D$13))</f>
        <v>96958150127118.703</v>
      </c>
      <c r="I7" s="300">
        <v>71</v>
      </c>
      <c r="J7" s="301">
        <f>H7/$H$23</f>
        <v>6.7588023756344109E-2</v>
      </c>
      <c r="K7" s="298"/>
      <c r="L7" s="78">
        <f>2.2*(890+27*$K$6)*10</f>
        <v>37400.000000000007</v>
      </c>
      <c r="M7" s="40">
        <v>6</v>
      </c>
      <c r="N7" s="36">
        <f>ROUNDDOWN(($I$7-5*ROUNDDOWN(I7/8+1,0))/113*(65+3-24+ROUNDUP($K$4/2,0)),0)</f>
        <v>13</v>
      </c>
      <c r="O7" s="41">
        <f>I7-5*ROUNDDOWN(I7/8+1,0)-M7-N7</f>
        <v>7</v>
      </c>
      <c r="P7" s="33">
        <f t="shared" si="0"/>
        <v>19404885307.274521</v>
      </c>
      <c r="Q7" s="34">
        <f>(ROUNDDOWN(($D$3+4)*($D$4+100)/100+$D$5,0)*4+ROUNDDOWN(($D$6+4)*($D$7+100)/100+$D$8,0))*0.01*ROUNDDOWN(($D$9+104)*($D$10+100)/100,0)*($D$11+135)/100*0.955*1.24*(1.25*1.2*1.25*1.23*1.1)*((134+ROUNDDOWN($K$4/5,0))/100*1.06)*1.2*$L7/100*N7*0.01*(1-(3.8*0.8*0.91*(100-$D$12)/100))</f>
        <v>35721324193.845718</v>
      </c>
      <c r="R7" s="118">
        <f>(ROUNDDOWN(($D$3+4)*($D$4+100)/100+$D$5,0)*4+ROUNDDOWN(($D$6+4)*($D$7+100)/100+$D$8,0))*0.01*ROUNDDOWN(($D$9+104)*($D$10+100)/100,0)*($D$11+135)/100*0.955*1.24*(1.25*1.2*1.25*1.23*1.1)*(1.06)*1.2*$L7/100*O7*0.01*(1-(3.8*0.8*0.91*(100-$D$12)/100))</f>
        <v>13738970843.786814</v>
      </c>
      <c r="S7" s="67">
        <f t="shared" si="1"/>
        <v>68865180344.907059</v>
      </c>
      <c r="T7" s="112"/>
      <c r="U7" s="1"/>
      <c r="V7" s="2" t="s">
        <v>38</v>
      </c>
      <c r="W7" s="2"/>
      <c r="X7" s="2"/>
      <c r="AD7"/>
      <c r="AE7"/>
      <c r="AF7"/>
    </row>
    <row r="8" spans="2:32" ht="33" customHeight="1" thickBot="1" x14ac:dyDescent="0.35">
      <c r="B8" s="213"/>
      <c r="C8" s="142" t="s">
        <v>6</v>
      </c>
      <c r="D8" s="145">
        <f>계산기!D8</f>
        <v>280</v>
      </c>
      <c r="G8" s="68" t="s">
        <v>32</v>
      </c>
      <c r="H8" s="299">
        <f>S8*기준표!T8+(S8*($D$13-기준표!$D$13))</f>
        <v>0</v>
      </c>
      <c r="I8" s="300"/>
      <c r="J8" s="301"/>
      <c r="K8" s="298"/>
      <c r="L8" s="78">
        <f>2.2*(245+9*$K$6)*8*5</f>
        <v>45320</v>
      </c>
      <c r="M8" s="40">
        <v>3</v>
      </c>
      <c r="N8" s="36">
        <v>3</v>
      </c>
      <c r="O8" s="41">
        <f>ROUNDDOWN(I7/8+1,0)-M8-N8</f>
        <v>3</v>
      </c>
      <c r="P8" s="33">
        <f t="shared" si="0"/>
        <v>11757077568.525148</v>
      </c>
      <c r="Q8" s="34">
        <f>(ROUNDDOWN(($D$3+4)*($D$4+100)/100+$D$5,0)*4+ROUNDDOWN(($D$6+4)*($D$7+100)/100+$D$8,0))*0.01*ROUNDDOWN(($D$9+104)*($D$10+100)/100,0)*($D$11+135)/100*0.955*1.24*(1.25*1.2*1.25*1.23*1.1)*((134+ROUNDDOWN($K$4/5,0))/100*1.06)*1.2*$L8/100*N8*0.01*(1-(3.8*0.8*0.91*(100-$D$12)/100))</f>
        <v>9989039978.18853</v>
      </c>
      <c r="R8" s="118">
        <f>(ROUNDDOWN(($D$3+4)*($D$4+100)/100+$D$5,0)*4+ROUNDDOWN(($D$6+4)*($D$7+100)/100+$D$8,0))*0.01*ROUNDDOWN(($D$9+104)*($D$10+100)/100,0)*($D$11+135)/100*0.955*1.24*(1.25*1.2*1.25*1.23*1.1)*(1.06)*1.2*$L8/100*O8*0.01*(1-(3.8*0.8*0.91*(100-$D$12)/100))</f>
        <v>7135028555.8489494</v>
      </c>
      <c r="S8" s="67">
        <f t="shared" si="1"/>
        <v>28881146102.562626</v>
      </c>
      <c r="T8" s="112"/>
      <c r="U8" s="1"/>
      <c r="V8" s="2" t="s">
        <v>39</v>
      </c>
      <c r="W8" s="2"/>
      <c r="X8" s="2"/>
      <c r="AD8"/>
      <c r="AE8"/>
      <c r="AF8"/>
    </row>
    <row r="9" spans="2:32" ht="33" customHeight="1" thickTop="1" x14ac:dyDescent="0.3">
      <c r="B9" s="223" t="s">
        <v>8</v>
      </c>
      <c r="C9" s="143" t="s">
        <v>3</v>
      </c>
      <c r="D9" s="146">
        <f>계산기!D9</f>
        <v>4496</v>
      </c>
      <c r="G9" s="68" t="s">
        <v>9</v>
      </c>
      <c r="H9" s="101">
        <f>S9*기준표!T9+(S9*($D$13-기준표!$D$13))</f>
        <v>115496914851885.7</v>
      </c>
      <c r="I9" s="15">
        <v>32</v>
      </c>
      <c r="J9" s="18">
        <f>H9/$H$23</f>
        <v>8.0511109324582164E-2</v>
      </c>
      <c r="K9" s="82">
        <f>계산기!F6</f>
        <v>30</v>
      </c>
      <c r="L9" s="78">
        <f>((10+K9+5*ROUNDDOWN(LOG(K9),0)+5*ROUNDDOWN(LOG(K9,20),0)+10*ROUNDDOWN(LOG(K9,30),0)+100)/100)*2000*15</f>
        <v>48000</v>
      </c>
      <c r="M9" s="40">
        <v>8</v>
      </c>
      <c r="N9" s="36">
        <f>ROUNDDOWN($I$9/113*(65+3-24+ROUNDUP($K$4/2,0)),0)</f>
        <v>16</v>
      </c>
      <c r="O9" s="41">
        <f>I9-M9-N9</f>
        <v>8</v>
      </c>
      <c r="P9" s="33">
        <f t="shared" si="0"/>
        <v>33206220846.67297</v>
      </c>
      <c r="Q9" s="34">
        <f>(ROUNDDOWN(($D$3+4)*($D$4+100)/100+$D$5,0)*4+ROUNDDOWN(($D$6+4)*($D$7+100)/100+$D$8,0))*0.01*ROUNDDOWN(($D$9+104)*($D$10+100)/100,0)*($D$11+135)/100*0.955*1.24*(1.25*1.2*1.25*1.23*1.1)*((134+ROUNDDOWN($K$4/5,0))/100*1.06)*1.2*$L9/100*N9*0.01*(1-(3.8*0.91*(100-$D$12)/100))</f>
        <v>55437878278.43924</v>
      </c>
      <c r="R9" s="118">
        <f>(ROUNDDOWN(($D$3+4)*($D$4+100)/100+$D$5,0)*4+ROUNDDOWN(($D$6+4)*($D$7+100)/100+$D$8,0))*0.01*ROUNDDOWN(($D$9+104)*($D$10+100)/100,0)*($D$11+135)/100*0.955*1.24*(1.25*1.2*1.25*1.23*1.1)*(1.06)*1.2*$L9/100*O9*0.01*(1-(3.8*0.91*(100-$D$12)/100))</f>
        <v>19799242242.299725</v>
      </c>
      <c r="S9" s="67">
        <f t="shared" si="1"/>
        <v>108443341367.41194</v>
      </c>
      <c r="T9" s="112"/>
      <c r="U9" s="1"/>
      <c r="V9" s="2" t="s">
        <v>40</v>
      </c>
      <c r="W9" s="2"/>
      <c r="X9" s="2"/>
      <c r="AD9"/>
      <c r="AE9"/>
      <c r="AF9"/>
    </row>
    <row r="10" spans="2:32" ht="33" customHeight="1" thickBot="1" x14ac:dyDescent="0.35">
      <c r="B10" s="213"/>
      <c r="C10" s="142" t="s">
        <v>5</v>
      </c>
      <c r="D10" s="145">
        <f>계산기!D10</f>
        <v>150</v>
      </c>
      <c r="G10" s="69" t="s">
        <v>19</v>
      </c>
      <c r="H10" s="101">
        <f>S10*기준표!T10+(S10*($D$13-기준표!$D$13))</f>
        <v>55216588355432.414</v>
      </c>
      <c r="I10" s="17">
        <v>6</v>
      </c>
      <c r="J10" s="18">
        <f t="shared" ref="J10:J23" si="2">H10/$H$23</f>
        <v>3.8490627973185969E-2</v>
      </c>
      <c r="K10" s="82">
        <f>계산기!F5</f>
        <v>30</v>
      </c>
      <c r="L10" s="78">
        <f>(680+24*$K$10)*10*8</f>
        <v>112000</v>
      </c>
      <c r="M10" s="40">
        <v>3</v>
      </c>
      <c r="N10" s="36">
        <v>3</v>
      </c>
      <c r="O10" s="41">
        <v>0</v>
      </c>
      <c r="P10" s="33">
        <f t="shared" si="0"/>
        <v>29055443240.838848</v>
      </c>
      <c r="Q10" s="34">
        <f>(ROUNDDOWN(($D$3+4)*($D$4+100)/100+$D$5,0)*4+ROUNDDOWN(($D$6+4)*($D$7+100)/100+$D$8,0))*0.01*ROUNDDOWN(($D$9+104)*($D$10+100)/100,0)*($D$11+135)/100*0.955*1.24*(1.25*1.2*1.25*1.23*1.1)*((134+ROUNDDOWN($K$4/5,0))/100*1.06)*1.2*$L10/100*N10*0.01*(1-(3.8*0.91*(100-$D$12)/100))</f>
        <v>24254071746.817165</v>
      </c>
      <c r="R10" s="118">
        <f>(ROUNDDOWN(($D$3+4)*($D$4+100)/100+$D$5,0)*4+ROUNDDOWN(($D$6+4)*($D$7+100)/100+$D$8,0))*0.01*ROUNDDOWN(($D$9+104)*($D$10+100)/100,0)*($D$11+135)/100*0.955*1.24*(1.25*1.2*1.25*1.23*1.1)*(1.06)*1.2*$L10/100*O10*0.01*(1-(3.8*0.91*(100-$D$12)/100))</f>
        <v>0</v>
      </c>
      <c r="S10" s="67">
        <f t="shared" si="1"/>
        <v>53309514987.656013</v>
      </c>
      <c r="T10" s="112"/>
      <c r="U10" s="1"/>
      <c r="V10" s="2" t="s">
        <v>41</v>
      </c>
      <c r="W10" s="2"/>
      <c r="X10" s="2"/>
      <c r="AD10"/>
      <c r="AE10"/>
      <c r="AF10"/>
    </row>
    <row r="11" spans="2:32" ht="33" customHeight="1" thickTop="1" x14ac:dyDescent="0.3">
      <c r="B11" s="224" t="s">
        <v>10</v>
      </c>
      <c r="C11" s="317"/>
      <c r="D11" s="146">
        <f>계산기!D11</f>
        <v>174.75</v>
      </c>
      <c r="E11" s="1" t="s">
        <v>140</v>
      </c>
      <c r="G11" s="68" t="s">
        <v>13</v>
      </c>
      <c r="H11" s="101">
        <f>S11*기준표!T11+(S11*($D$13-기준표!$D$13))</f>
        <v>61953398039824.195</v>
      </c>
      <c r="I11" s="15">
        <v>55</v>
      </c>
      <c r="J11" s="18">
        <f t="shared" si="2"/>
        <v>4.3186753594329476E-2</v>
      </c>
      <c r="K11" s="298">
        <f>계산기!F12</f>
        <v>30</v>
      </c>
      <c r="L11" s="78">
        <f>2.2*(645+24*$K$11)*5</f>
        <v>15015.000000000002</v>
      </c>
      <c r="M11" s="40">
        <f>$M$12</f>
        <v>22</v>
      </c>
      <c r="N11" s="36">
        <f>ROUNDDOWN(($I$11-$M$11)/113*(65+3-24+ROUNDUP($K$4/2,0)),0)</f>
        <v>17</v>
      </c>
      <c r="O11" s="41">
        <f>I11-M11-N11</f>
        <v>16</v>
      </c>
      <c r="P11" s="33">
        <f t="shared" si="0"/>
        <v>28565132636.149693</v>
      </c>
      <c r="Q11" s="34">
        <f>(ROUNDDOWN(($D$3+4)*($D$4+100)/100+$D$5,0)*4+ROUNDDOWN(($D$6+4)*($D$7+100)/100+$D$8,0))*0.01*ROUNDDOWN(($D$9+104)*($D$10+100)/100,0)*($D$11+135)/100*0.955*1.24*(1.25*1.2*1.25*1.23*1.1)*((134+ROUNDDOWN($K$4/5,0))/100*1.06)*1.2*$L11/100*N11*0.01*(1-(3.8*0.8*0.91*0.91*(100-$D$12)/100))</f>
        <v>18871840027.54818</v>
      </c>
      <c r="R11" s="118">
        <f>(ROUNDDOWN(($D$3+4)*($D$4+100)/100+$D$5,0)*4+ROUNDDOWN(($D$6+4)*($D$7+100)/100+$D$8,0))*0.01*ROUNDDOWN(($D$9+104)*($D$10+100)/100,0)*($D$11+135)/100*0.955*1.24*(1.25*1.2*1.25*1.23*1.1)*(1.06)*1.2*$L11/100*O11*0.01*(1-(3.8*0.8*0.91*0.91*(100-$D$12)/100))</f>
        <v>12686951279.023987</v>
      </c>
      <c r="S11" s="67">
        <f t="shared" si="1"/>
        <v>60123923942.721863</v>
      </c>
      <c r="T11" s="112"/>
      <c r="U11" s="1"/>
      <c r="W11" s="2"/>
      <c r="X11" s="2"/>
      <c r="AE11"/>
      <c r="AF11"/>
    </row>
    <row r="12" spans="2:32" ht="33" customHeight="1" x14ac:dyDescent="0.3">
      <c r="B12" s="226" t="s">
        <v>11</v>
      </c>
      <c r="C12" s="318"/>
      <c r="D12" s="148">
        <f>계산기!D12</f>
        <v>97.635238095238094</v>
      </c>
      <c r="G12" s="68" t="s">
        <v>22</v>
      </c>
      <c r="H12" s="101">
        <f>S12*기준표!T12+(S12*($D$13-기준표!$D$13))</f>
        <v>43470060873024.883</v>
      </c>
      <c r="I12" s="15">
        <v>22</v>
      </c>
      <c r="J12" s="18">
        <f t="shared" si="2"/>
        <v>3.0302305717711617E-2</v>
      </c>
      <c r="K12" s="298"/>
      <c r="L12" s="78">
        <f>2.2*(745+28*$K$11)*6</f>
        <v>20922.000000000004</v>
      </c>
      <c r="M12" s="40">
        <f>I12</f>
        <v>22</v>
      </c>
      <c r="N12" s="36">
        <v>0</v>
      </c>
      <c r="O12" s="41">
        <v>0</v>
      </c>
      <c r="P12" s="33">
        <f t="shared" si="0"/>
        <v>39802844156.74485</v>
      </c>
      <c r="Q12" s="34">
        <f>(ROUNDDOWN(($D$3+4)*($D$4+100)/100+$D$5,0)*4+ROUNDDOWN(($D$6+4)*($D$7+100)/100+$D$8,0))*0.01*ROUNDDOWN(($D$9+104)*($D$10+100)/100,0)*($D$11+135)/100*0.955*1.24*(1.25*1.2*1.25*1.23*1.1)*((134+ROUNDDOWN($K$4/5,0))/100*1.06)*1.2*$L12/100*N12*0.01*(1-(3.8*0.84*0.8*0.91*(100-$D$12)/100))</f>
        <v>0</v>
      </c>
      <c r="R12" s="118">
        <f>(ROUNDDOWN(($D$3+4)*($D$4+100)/100+$D$5,0)*4+ROUNDDOWN(($D$6+4)*($D$7+100)/100+$D$8,0))*0.01*ROUNDDOWN(($D$9+104)*($D$10+100)/100,0)*($D$11+135)/100*0.955*1.24*(1.25*1.2*1.25*1.23*1.1)*(1.06)*1.2*$L12/100*O12*0.01*(1-(3.8*0.84*0.8*0.91*(100-$D$12)/100))</f>
        <v>0</v>
      </c>
      <c r="S12" s="67">
        <f t="shared" si="1"/>
        <v>39802844156.74485</v>
      </c>
      <c r="T12" s="112"/>
      <c r="U12" s="1"/>
      <c r="W12" s="2"/>
      <c r="X12" s="2"/>
      <c r="AE12"/>
      <c r="AF12"/>
    </row>
    <row r="13" spans="2:32" ht="33" customHeight="1" thickBot="1" x14ac:dyDescent="0.35">
      <c r="B13" s="319" t="s">
        <v>42</v>
      </c>
      <c r="C13" s="320"/>
      <c r="D13" s="145">
        <f>계산기!D13</f>
        <v>715</v>
      </c>
      <c r="E13"/>
      <c r="F13"/>
      <c r="G13" s="68" t="s">
        <v>17</v>
      </c>
      <c r="H13" s="101">
        <f>S13*기준표!T13+(S13*($D$13-기준표!$D$13))+S13*$D$17*3</f>
        <v>75814819461129.625</v>
      </c>
      <c r="I13" s="15">
        <v>543</v>
      </c>
      <c r="J13" s="18">
        <f t="shared" si="2"/>
        <v>5.2849335637113845E-2</v>
      </c>
      <c r="K13" s="298"/>
      <c r="L13" s="78">
        <f>2.2*(102+4*$K$11)*4</f>
        <v>1953.6000000000001</v>
      </c>
      <c r="M13" s="40">
        <f>ROUNDDOWN(I13/113*24,0)</f>
        <v>115</v>
      </c>
      <c r="N13" s="36">
        <f>ROUNDDOWN(I13/113*(65+3-24+ROUNDUP($K$4/2,0)),0)</f>
        <v>283</v>
      </c>
      <c r="O13" s="41">
        <f>I13-M13-N13</f>
        <v>145</v>
      </c>
      <c r="P13" s="33">
        <f t="shared" si="0"/>
        <v>19427714584.106606</v>
      </c>
      <c r="Q13" s="34">
        <f>(ROUNDDOWN(($D$3+4)*($D$4+100)/100+$D$5,0)*4+ROUNDDOWN(($D$6+4)*($D$7+100)/100+$D$8,0))*0.01*ROUNDDOWN(($D$9+104)*($D$10+100)/100,0)*($D$11+135)/100*0.955*1.24*(1.25*1.2*1.25*1.23*1.1)*((134+ROUNDDOWN($K$4/5,0))/100*1.06)*1.2*$L13/100*N13*0.01*(1-(3.8*0.8*0.91*(100-$D$12)/100))</f>
        <v>40619509752.082367</v>
      </c>
      <c r="R13" s="118">
        <f>(ROUNDDOWN(($D$3+4)*($D$4+100)/100+$D$5,0)*4+ROUNDDOWN(($D$6+4)*($D$7+100)/100+$D$8,0))*0.01*ROUNDDOWN(($D$9+104)*($D$10+100)/100,0)*($D$11+135)/100*0.955*1.24*(1.25*1.2*1.25*1.23*1.1)*(1.06)*1.2*$L13/100*O13*0.01*(1-(3.8*0.8*0.91*(100-$D$12)/100))</f>
        <v>14865797360.050337</v>
      </c>
      <c r="S13" s="67">
        <f t="shared" si="1"/>
        <v>74913021696.239304</v>
      </c>
      <c r="T13" s="112"/>
      <c r="U13" s="1"/>
      <c r="W13" s="2"/>
      <c r="X13" s="2"/>
      <c r="AE13"/>
      <c r="AF13"/>
    </row>
    <row r="14" spans="2:32" ht="33" customHeight="1" thickTop="1" x14ac:dyDescent="0.3">
      <c r="B14" s="293" t="s">
        <v>103</v>
      </c>
      <c r="C14" s="294"/>
      <c r="D14" s="149">
        <f>계산기!D14</f>
        <v>95</v>
      </c>
      <c r="G14" s="68" t="s">
        <v>16</v>
      </c>
      <c r="H14" s="101">
        <f>(S14*기준표!T14+(S14*($D$13-기준표!$D$13)))*(100+D15)/(100+기준표!D15)</f>
        <v>166192089817276.06</v>
      </c>
      <c r="I14" s="15">
        <v>71</v>
      </c>
      <c r="J14" s="18">
        <f t="shared" si="2"/>
        <v>0.11584993009829329</v>
      </c>
      <c r="K14" s="82">
        <f>계산기!F9</f>
        <v>30</v>
      </c>
      <c r="L14" s="78">
        <f>2.2*(935+27*$K$14)*9</f>
        <v>34551.000000000007</v>
      </c>
      <c r="M14" s="40">
        <f>ROUNDDOWN(I14/113*24,0)</f>
        <v>15</v>
      </c>
      <c r="N14" s="36">
        <f>ROUNDDOWN(I14/113*(65+3-24+ROUNDUP($K$4/2,0)),0)</f>
        <v>37</v>
      </c>
      <c r="O14" s="41">
        <f>I14-M14-N14</f>
        <v>19</v>
      </c>
      <c r="P14" s="33">
        <f t="shared" si="0"/>
        <v>44816724080.992111</v>
      </c>
      <c r="Q14" s="34">
        <f>(ROUNDDOWN(($D$3+4)*($D$4+100)/100+$D$5,0)*4+ROUNDDOWN(($D$6+4)*($D$7+100)/100+$D$8,0))*0.01*ROUNDDOWN(($D$9+104)*($D$10+100)/100,0)*($D$11+135)/100*0.955*1.24*(1.25*1.2*1.25*1.23*1.1)*((134+ROUNDDOWN($K$4/5,0))/100*1.06)*1.2*$L14/100*N14*0.01*(1-(3.8*0.84*0.8*0.8*0.91*(100-$D$12)/100))</f>
        <v>96080069420.443314</v>
      </c>
      <c r="R14" s="118">
        <f>(ROUNDDOWN(($D$3+4)*($D$4+100)/100+$D$5,0)*4+ROUNDDOWN(($D$6+4)*($D$7+100)/100+$D$8,0))*0.01*ROUNDDOWN(($D$9+104)*($D$10+100)/100,0)*($D$11+135)/100*0.955*1.24*(1.25*1.2*1.25*1.23*1.1)*(1.06)*1.2*$L14/100*O14*0.01*(1-(3.8*0.84*0.8*0.8*0.91*(100-$D$12)/100))</f>
        <v>35241724304.795807</v>
      </c>
      <c r="S14" s="67">
        <f t="shared" si="1"/>
        <v>176138517806.23123</v>
      </c>
      <c r="T14" s="112"/>
      <c r="U14" s="26"/>
      <c r="W14" s="2"/>
      <c r="X14" s="2"/>
      <c r="AE14"/>
      <c r="AF14"/>
    </row>
    <row r="15" spans="2:32" ht="33" customHeight="1" x14ac:dyDescent="0.3">
      <c r="B15" s="235" t="s">
        <v>105</v>
      </c>
      <c r="C15" s="321"/>
      <c r="D15" s="121">
        <f>계산기!D15</f>
        <v>17.5</v>
      </c>
      <c r="G15" s="69" t="s">
        <v>18</v>
      </c>
      <c r="H15" s="101">
        <f>S15*기준표!T15+(S15*($D$13-기준표!$D$13))</f>
        <v>63347331319300.664</v>
      </c>
      <c r="I15" s="17">
        <v>62</v>
      </c>
      <c r="J15" s="18">
        <f t="shared" si="2"/>
        <v>4.4158442879701505E-2</v>
      </c>
      <c r="K15" s="298">
        <f>계산기!F7</f>
        <v>30</v>
      </c>
      <c r="L15" s="78">
        <f>((10+$K$15+5*ROUNDDOWN(LOG($K$15),0)+5*ROUNDDOWN(LOG($K$15,20),0)+10*ROUNDDOWN(LOG($K$15,30),0)+100)/100)*1370*5</f>
        <v>10960</v>
      </c>
      <c r="M15" s="40">
        <f>I15</f>
        <v>62</v>
      </c>
      <c r="N15" s="36">
        <v>0</v>
      </c>
      <c r="O15" s="41">
        <v>0</v>
      </c>
      <c r="P15" s="33">
        <f t="shared" si="0"/>
        <v>58761174973.258369</v>
      </c>
      <c r="Q15" s="34">
        <f>(ROUNDDOWN(($D$3+4)*($D$4+100)/100+$D$5,0)*4+ROUNDDOWN(($D$6+4)*($D$7+100)/100+$D$8,0))*0.01*ROUNDDOWN(($D$9+104)*($D$10+100)/100,0)*($D$11+135)/100*0.955*1.24*(1.25*1.2*1.25*1.23*1.1)*((134+ROUNDDOWN($K$4/5,0))/100*1.06)*1.2*$L15/100*N15*0.01*(1-(3.8*0.91*(100-$D$12)/100))</f>
        <v>0</v>
      </c>
      <c r="R15" s="118">
        <f>(ROUNDDOWN(($D$3+4)*($D$4+100)/100+$D$5,0)*4+ROUNDDOWN(($D$6+4)*($D$7+100)/100+$D$8,0))*0.01*ROUNDDOWN(($D$9+104)*($D$10+100)/100,0)*($D$11+135)/100*0.955*1.24*(1.25*1.2*1.25*1.23*1.1)*(1.06)*1.2*$L15/100*O15*0.01*(1-(3.8*0.91*(100-$D$12)/100))</f>
        <v>0</v>
      </c>
      <c r="S15" s="67">
        <f t="shared" si="1"/>
        <v>58761174973.258369</v>
      </c>
      <c r="T15" s="112"/>
      <c r="U15" s="1"/>
      <c r="W15" s="2"/>
      <c r="X15" s="2"/>
      <c r="AE15"/>
      <c r="AF15"/>
    </row>
    <row r="16" spans="2:32" ht="33" customHeight="1" thickBot="1" x14ac:dyDescent="0.35">
      <c r="B16" s="220" t="s">
        <v>112</v>
      </c>
      <c r="C16" s="322"/>
      <c r="D16" s="131">
        <f>계산기!D16</f>
        <v>2</v>
      </c>
      <c r="G16" s="69" t="s">
        <v>21</v>
      </c>
      <c r="H16" s="101">
        <f>S16*기준표!T16+(S16*($D$13-기준표!$D$13))</f>
        <v>122296955441606.94</v>
      </c>
      <c r="I16" s="17">
        <v>75</v>
      </c>
      <c r="J16" s="18">
        <f t="shared" si="2"/>
        <v>8.5251312229852272E-2</v>
      </c>
      <c r="K16" s="298"/>
      <c r="L16" s="78">
        <f>((10+$K$15+5*ROUNDDOWN(LOG($K$15),0)+5*ROUNDDOWN(LOG($K$15,20),0)+10*ROUNDDOWN(LOG($K$15,30),0)+100)/100)*1210*9</f>
        <v>17424</v>
      </c>
      <c r="M16" s="40">
        <f>I16</f>
        <v>75</v>
      </c>
      <c r="N16" s="36">
        <v>0</v>
      </c>
      <c r="O16" s="41">
        <v>0</v>
      </c>
      <c r="P16" s="33">
        <f t="shared" si="0"/>
        <v>113004920318.83395</v>
      </c>
      <c r="Q16" s="34">
        <f>(ROUNDDOWN(($D$3+4)*($D$4+100)/100+$D$5,0)*4+ROUNDDOWN(($D$6+4)*($D$7+100)/100+$D$8,0))*0.01*ROUNDDOWN(($D$9+104)*($D$10+100)/100,0)*($D$11+135)/100*0.955*1.24*(1.25*1.2*1.25*1.23*1.1)*((134+ROUNDDOWN($K$4/5,0))/100*1.06)*1.2*$L16/100*N16*0.01*(1-(3.8*0.84*0.91*(100-$D$12)/100))</f>
        <v>0</v>
      </c>
      <c r="R16" s="118">
        <f>(ROUNDDOWN(($D$3+4)*($D$4+100)/100+$D$5,0)*4+ROUNDDOWN(($D$6+4)*($D$7+100)/100+$D$8,0))*0.01*ROUNDDOWN(($D$9+104)*($D$10+100)/100,0)*($D$11+135)/100*0.955*1.24*(1.25*1.2*1.25*1.23*1.1)*(1.06)*1.2*$L16/100*O16*0.01*(1-(3.8*0.84*0.91*(100-$D$12)/100))</f>
        <v>0</v>
      </c>
      <c r="S16" s="67">
        <f t="shared" si="1"/>
        <v>113004920318.83395</v>
      </c>
      <c r="T16" s="112"/>
      <c r="U16" s="1"/>
      <c r="V16" s="1"/>
      <c r="W16" s="2"/>
      <c r="X16" s="2"/>
      <c r="AE16"/>
      <c r="AF16"/>
    </row>
    <row r="17" spans="2:32" ht="33" customHeight="1" thickTop="1" thickBot="1" x14ac:dyDescent="0.35">
      <c r="B17" s="253" t="s">
        <v>139</v>
      </c>
      <c r="C17" s="254"/>
      <c r="D17" s="161">
        <f>계산기!D17</f>
        <v>0</v>
      </c>
      <c r="G17" s="69" t="s">
        <v>27</v>
      </c>
      <c r="H17" s="101">
        <f>S17*기준표!T17+(S17*($D$13-기준표!$D$13))</f>
        <v>65968359156719.18</v>
      </c>
      <c r="I17" s="17">
        <v>3</v>
      </c>
      <c r="J17" s="18">
        <f t="shared" si="2"/>
        <v>4.598552076339902E-2</v>
      </c>
      <c r="K17" s="298"/>
      <c r="L17" s="78">
        <f>((10+$K$15+5*ROUNDDOWN(LOG($K$15),0)+5*ROUNDDOWN(LOG($K$15,20),0)+10*ROUNDDOWN(LOG($K$15,30),0)+100)/100)*1370*15*7</f>
        <v>230160</v>
      </c>
      <c r="M17" s="40">
        <f>I17</f>
        <v>3</v>
      </c>
      <c r="N17" s="36">
        <v>0</v>
      </c>
      <c r="O17" s="41">
        <v>0</v>
      </c>
      <c r="P17" s="33">
        <f t="shared" si="0"/>
        <v>59708935859.923828</v>
      </c>
      <c r="Q17" s="34">
        <f t="shared" ref="Q17:Q22" si="3">(ROUNDDOWN(($D$3+4)*($D$4+100)/100+$D$5,0)*4+ROUNDDOWN(($D$6+4)*($D$7+100)/100+$D$8,0))*0.01*ROUNDDOWN(($D$9+104)*($D$10+100)/100,0)*($D$11+135)/100*0.955*1.24*(1.25*1.2*1.25*1.23*1.1)*((134+ROUNDDOWN($K$4/5,0))/100*1.06)*1.2*$L17/100*N17*0.01*(1-(3.8*0.91*(100-$D$12)/100))</f>
        <v>0</v>
      </c>
      <c r="R17" s="118">
        <f>(ROUNDDOWN(($D$3+4)*($D$4+100)/100+$D$5,0)*4+ROUNDDOWN(($D$6+4)*($D$7+100)/100+$D$8,0))*0.01*ROUNDDOWN(($D$9+104)*($D$10+100)/100,0)*($D$11+135)/100*0.955*1.24*(1.25*1.2*1.25*1.23*1.1)*(1.06)*1.2*$L17/100*O17*0.01*(1-(3.8*0.91*(100-$D$12)/100))</f>
        <v>0</v>
      </c>
      <c r="S17" s="67">
        <f t="shared" si="1"/>
        <v>59708935859.923828</v>
      </c>
      <c r="T17" s="112"/>
      <c r="U17" s="1"/>
      <c r="V17" s="1"/>
      <c r="W17" s="2"/>
      <c r="X17" s="2"/>
      <c r="AE17"/>
      <c r="AF17"/>
    </row>
    <row r="18" spans="2:32" s="1" customFormat="1" ht="33" customHeight="1" thickBot="1" x14ac:dyDescent="0.35">
      <c r="B18" s="222" t="s">
        <v>44</v>
      </c>
      <c r="C18" s="222"/>
      <c r="D18" s="222"/>
      <c r="E18" s="222"/>
      <c r="G18" s="68" t="s">
        <v>26</v>
      </c>
      <c r="H18" s="101">
        <f>S18*기준표!T18+(S18*($D$13-기준표!$D$13))-IF(K18&lt;20,S18*50,IF(K18&lt;30,S18*30,0))</f>
        <v>81576028692571.875</v>
      </c>
      <c r="I18" s="15">
        <v>1</v>
      </c>
      <c r="J18" s="18">
        <f t="shared" si="2"/>
        <v>5.6865385302763125E-2</v>
      </c>
      <c r="K18" s="82">
        <f>계산기!F15</f>
        <v>30</v>
      </c>
      <c r="L18" s="78">
        <f>(750+25*$K$18)*7*6+(690+22*$K$18)*6*30+(685+23*$K$18)*14*24</f>
        <v>768000</v>
      </c>
      <c r="M18" s="40">
        <f>I18</f>
        <v>1</v>
      </c>
      <c r="N18" s="36">
        <v>0</v>
      </c>
      <c r="O18" s="41">
        <v>0</v>
      </c>
      <c r="P18" s="33">
        <f t="shared" si="0"/>
        <v>66412441693.34594</v>
      </c>
      <c r="Q18" s="34">
        <f t="shared" si="3"/>
        <v>0</v>
      </c>
      <c r="R18" s="118">
        <f>(ROUNDDOWN(($D$3+4)*($D$4+100)/100+$D$5,0)*4+ROUNDDOWN(($D$6+4)*($D$7+100)/100+$D$8,0))*0.01*ROUNDDOWN(($D$9+104)*($D$10+100)/100,0)*($D$11+135)/100*0.955*1.24*(1.25*1.2*1.25*1.23*1.1)*(1.06)*1.2*$L18/100*O18*0.01*(1-(3.8*0.91*(100-$D$12)/100))</f>
        <v>0</v>
      </c>
      <c r="S18" s="67">
        <f t="shared" si="1"/>
        <v>66412441693.34594</v>
      </c>
      <c r="T18" s="112"/>
      <c r="U18" s="3"/>
      <c r="W18" s="2"/>
      <c r="X18" s="2"/>
      <c r="Y18" s="2"/>
      <c r="Z18" s="2"/>
      <c r="AA18" s="2"/>
      <c r="AB18" s="2"/>
      <c r="AC18" s="2"/>
      <c r="AD18" s="2"/>
    </row>
    <row r="19" spans="2:32" ht="33" customHeight="1" thickBot="1" x14ac:dyDescent="0.35">
      <c r="B19" s="255" t="s">
        <v>91</v>
      </c>
      <c r="C19" s="255"/>
      <c r="D19" s="255"/>
      <c r="E19" s="255"/>
      <c r="G19" s="69" t="s">
        <v>20</v>
      </c>
      <c r="H19" s="101">
        <f>S19*기준표!T19+(S19*($D$13-기준표!$D$13))</f>
        <v>57787226768820.961</v>
      </c>
      <c r="I19" s="17">
        <v>840</v>
      </c>
      <c r="J19" s="18">
        <f t="shared" si="2"/>
        <v>4.0282580170348199E-2</v>
      </c>
      <c r="K19" s="83"/>
      <c r="L19" s="78">
        <v>990</v>
      </c>
      <c r="M19" s="40">
        <f>ROUNDDOWN(I19/113*24,0)</f>
        <v>178</v>
      </c>
      <c r="N19" s="36">
        <f>ROUNDDOWN(I19/113*(65+3-24+ROUNDUP($K$4/2,0)),0)</f>
        <v>438</v>
      </c>
      <c r="O19" s="41">
        <f>I19-M19-N19</f>
        <v>224</v>
      </c>
      <c r="P19" s="33">
        <f t="shared" si="0"/>
        <v>15238542285.418518</v>
      </c>
      <c r="Q19" s="34">
        <f t="shared" si="3"/>
        <v>31300745806.115658</v>
      </c>
      <c r="R19" s="118">
        <f>(ROUNDDOWN(($D$3+4)*($D$4+100)/100+$D$5,0)*4+ROUNDDOWN(($D$6+4)*($D$7+100)/100+$D$8,0))*0.01*ROUNDDOWN(($D$9+104)*($D$10+100)/100,0)*($D$11+135)/100*0.955*1.24*(1.25*1.2*1.25*1.23*1.1)*(1.06)*1.2*$L19/100*O19*0.01*(1-(3.8*0.91*(100-$D$12)/100))</f>
        <v>11434062394.928091</v>
      </c>
      <c r="S19" s="67">
        <f t="shared" si="1"/>
        <v>57973350486.462273</v>
      </c>
      <c r="T19" s="112"/>
      <c r="U19" s="1"/>
      <c r="V19" s="323" t="s">
        <v>57</v>
      </c>
      <c r="W19" s="324"/>
      <c r="X19" s="324"/>
      <c r="Y19" s="324"/>
      <c r="Z19" s="324"/>
      <c r="AA19" s="324"/>
      <c r="AB19" s="325"/>
      <c r="AE19"/>
      <c r="AF19"/>
    </row>
    <row r="20" spans="2:32" s="1" customFormat="1" ht="33" customHeight="1" x14ac:dyDescent="0.3">
      <c r="B20" s="255" t="s">
        <v>90</v>
      </c>
      <c r="C20" s="255"/>
      <c r="D20" s="255"/>
      <c r="E20" s="255"/>
      <c r="G20" s="68" t="s">
        <v>12</v>
      </c>
      <c r="H20" s="101">
        <f>S20*기준표!T20+(S20*($D$13-기준표!$D$13))</f>
        <v>27226764358512.844</v>
      </c>
      <c r="I20" s="15">
        <v>60</v>
      </c>
      <c r="J20" s="18">
        <f t="shared" si="2"/>
        <v>1.8979355462732304E-2</v>
      </c>
      <c r="K20" s="83"/>
      <c r="L20" s="78">
        <f>1000*6</f>
        <v>6000</v>
      </c>
      <c r="M20" s="40">
        <f>ROUNDDOWN(I20/113*24,0)</f>
        <v>12</v>
      </c>
      <c r="N20" s="36">
        <f>ROUNDDOWN(I20/113*(65+3-24+ROUNDUP($K$4/2,0)),0)</f>
        <v>31</v>
      </c>
      <c r="O20" s="41">
        <f>I20-M20-N20</f>
        <v>17</v>
      </c>
      <c r="P20" s="33">
        <f t="shared" si="0"/>
        <v>6226166408.7511816</v>
      </c>
      <c r="Q20" s="34">
        <f t="shared" si="3"/>
        <v>13426361145.559504</v>
      </c>
      <c r="R20" s="118">
        <f>(ROUNDDOWN(($D$3+4)*($D$4+100)/100+$D$5,0)*4+ROUNDDOWN(($D$6+4)*($D$7+100)/100+$D$8,0))*0.01*ROUNDDOWN(($D$9+104)*($D$10+100)/100,0)*($D$11+135)/100*0.955*1.24*(1.25*1.2*1.25*1.23*1.1)*(1.06)*1.2*$L20/100*O20*0.01*(1-(3.8*0.91*(100-$D$12)/100))</f>
        <v>5259173720.6108646</v>
      </c>
      <c r="S20" s="67">
        <f t="shared" si="1"/>
        <v>24911701274.921547</v>
      </c>
      <c r="T20" s="114"/>
      <c r="U20" s="326" t="s">
        <v>80</v>
      </c>
      <c r="V20" s="106"/>
      <c r="W20" s="328" t="s">
        <v>58</v>
      </c>
      <c r="X20" s="329"/>
      <c r="Y20" s="330"/>
      <c r="Z20" s="331" t="s">
        <v>59</v>
      </c>
      <c r="AA20" s="329"/>
      <c r="AB20" s="330"/>
      <c r="AC20" s="2"/>
      <c r="AD20" s="2"/>
    </row>
    <row r="21" spans="2:32" s="1" customFormat="1" ht="33" customHeight="1" x14ac:dyDescent="0.3">
      <c r="B21" s="255" t="s">
        <v>63</v>
      </c>
      <c r="C21" s="255"/>
      <c r="D21" s="255"/>
      <c r="E21" s="255"/>
      <c r="G21" s="69" t="s">
        <v>25</v>
      </c>
      <c r="H21" s="101">
        <f>S21*기준표!T21+(S21*($D$13-기준표!$D$13))</f>
        <v>7982648128839.7012</v>
      </c>
      <c r="I21" s="17">
        <v>31</v>
      </c>
      <c r="J21" s="18">
        <f t="shared" si="2"/>
        <v>5.5645802922517744E-3</v>
      </c>
      <c r="K21" s="83"/>
      <c r="L21" s="78">
        <f>385*8</f>
        <v>3080</v>
      </c>
      <c r="M21" s="40">
        <v>10</v>
      </c>
      <c r="N21" s="36">
        <f>I21-M21-1</f>
        <v>20</v>
      </c>
      <c r="O21" s="41">
        <v>0</v>
      </c>
      <c r="P21" s="33">
        <f t="shared" si="0"/>
        <v>2663415630.4102278</v>
      </c>
      <c r="Q21" s="34">
        <f t="shared" si="3"/>
        <v>4446579820.249814</v>
      </c>
      <c r="R21" s="118">
        <f>(ROUNDDOWN(($D$3+4)*($D$4+100)/100+$D$5,0)*4+ROUNDDOWN(($D$6+4)*($D$7+100)/100+$D$8,0))*0.01*ROUNDDOWN(($D$9+104)*($D$10+100)/100,0)*($D$11+135)/100*0.955*1.24*(1.25*1.2*1.25*1.23*1.1)*(1.06)*1.2*($L21/100*O21+990/100*15)*0.01*(1-(3.8*0.91*(100-$D$12)/100))</f>
        <v>765673821.08893466</v>
      </c>
      <c r="S21" s="67">
        <f t="shared" si="1"/>
        <v>7875669271.7489767</v>
      </c>
      <c r="T21" s="112"/>
      <c r="U21" s="327"/>
      <c r="V21" s="49" t="s">
        <v>77</v>
      </c>
      <c r="W21" s="52">
        <v>4</v>
      </c>
      <c r="X21" s="52">
        <v>5</v>
      </c>
      <c r="Y21" s="53">
        <v>6</v>
      </c>
      <c r="Z21" s="62">
        <v>4</v>
      </c>
      <c r="AA21" s="52">
        <v>5</v>
      </c>
      <c r="AB21" s="53">
        <v>6</v>
      </c>
      <c r="AC21" s="2"/>
      <c r="AD21" s="2"/>
    </row>
    <row r="22" spans="2:32" s="1" customFormat="1" ht="33" customHeight="1" thickBot="1" x14ac:dyDescent="0.35">
      <c r="B22" s="255" t="s">
        <v>60</v>
      </c>
      <c r="C22" s="255"/>
      <c r="D22" s="255"/>
      <c r="E22" s="255"/>
      <c r="G22" s="69" t="s">
        <v>24</v>
      </c>
      <c r="H22" s="101">
        <f>S22*기준표!T22+(S22*($D$13-기준표!$D$13))</f>
        <v>7758142232092.002</v>
      </c>
      <c r="I22" s="17">
        <v>25</v>
      </c>
      <c r="J22" s="18">
        <f t="shared" si="2"/>
        <v>5.4080807111136359E-3</v>
      </c>
      <c r="K22" s="83"/>
      <c r="L22" s="78">
        <f>605*6</f>
        <v>3630</v>
      </c>
      <c r="M22" s="40">
        <v>11</v>
      </c>
      <c r="N22" s="36">
        <f>I22-M22-1</f>
        <v>13</v>
      </c>
      <c r="O22" s="41">
        <v>0</v>
      </c>
      <c r="P22" s="33">
        <f t="shared" si="0"/>
        <v>3452928120.8532596</v>
      </c>
      <c r="Q22" s="34">
        <f t="shared" si="3"/>
        <v>3406397755.1556611</v>
      </c>
      <c r="R22" s="118">
        <f>(ROUNDDOWN(($D$3+4)*($D$4+100)/100+$D$5,0)*4+ROUNDDOWN(($D$6+4)*($D$7+100)/100+$D$8,0))*0.01*ROUNDDOWN(($D$9+104)*($D$10+100)/100,0)*($D$11+135)/100*0.955*1.24*(1.25*1.2*1.25*1.23*1.1)*(1.06)*1.2*($L22/100*O22+1650/100*12)*0.01*(1-(3.8*0.91*(100-$D$12)/100))</f>
        <v>1020898428.1185797</v>
      </c>
      <c r="S22" s="67">
        <f t="shared" si="1"/>
        <v>7880224304.1275005</v>
      </c>
      <c r="T22" s="112"/>
      <c r="U22" s="327"/>
      <c r="V22" s="50" t="s">
        <v>78</v>
      </c>
      <c r="W22" s="54">
        <f>(((($S$10+$S$17+$S$18)*140+$H$10+$H$17+$H$18)/($D$10+100)*($D$10+10+100)+(((SUM($S$5:$S$9)+SUM($S$11:$S$16)+SUM($S$19:$S$22))/12.1*8*140)+$H$23-$H$10-$H$17-$H$18)/($D$10+100)*($D$10+10/12.1*8+100))/$H$23)-1</f>
        <v>0.1276786025420098</v>
      </c>
      <c r="X22" s="54">
        <f>(((($S$10+$S$17+$S$18)*160+$H$10+$H$17+$H$18)/($D$10+100)*($D$10+12+100)+(((S23-$S$10-$S$17-$S$18)/12.1*8*160)+$H$23-$H$10-$H$17-$H$18)/($D$10+100)*($D$10+12/12.1*8+100))/$H$23)-1</f>
        <v>0.14817682630842688</v>
      </c>
      <c r="Y22" s="55">
        <f>(((($S$10+$S$17+$S$18)*195+$H$10+$H$17+$H$18)/($D$10+100)*($D$10+14+100)+(((SUM($S$5:$S$9)+SUM($S$11:$S$16)+SUM($S$19:$S$22))/12.1*8*195)+$H$23-$H$10-$H$17-$H$18)/($D$10+100)*($D$10+14/12.1*8+100))/$H$23)-1</f>
        <v>0.17959512692953594</v>
      </c>
      <c r="Z22" s="54">
        <f>($S$46*(($D$10+80+100)/($D$10+100)-1))/$H$23</f>
        <v>0.11052216644521909</v>
      </c>
      <c r="AA22" s="54">
        <f>($Q$46/($D$10+100)*($D$10+80+100)-$Q$46)/$H$23</f>
        <v>0.1320855586239284</v>
      </c>
      <c r="AB22" s="55">
        <f>($Q$46/($D$10+100)*($D$10+95+100)-$Q$46)/$H$23</f>
        <v>0.15685160086591499</v>
      </c>
      <c r="AC22" s="2"/>
      <c r="AD22" s="2"/>
    </row>
    <row r="23" spans="2:32" s="1" customFormat="1" ht="33" customHeight="1" thickBot="1" x14ac:dyDescent="0.35">
      <c r="B23" s="255" t="s">
        <v>62</v>
      </c>
      <c r="C23" s="255"/>
      <c r="D23" s="255"/>
      <c r="E23" s="255"/>
      <c r="G23" s="70" t="s">
        <v>36</v>
      </c>
      <c r="H23" s="71">
        <f>SUM($H$5:$H$22)</f>
        <v>1434546310699279.5</v>
      </c>
      <c r="I23" s="72"/>
      <c r="J23" s="73">
        <f t="shared" si="2"/>
        <v>1</v>
      </c>
      <c r="K23" s="84"/>
      <c r="L23" s="79"/>
      <c r="M23" s="42"/>
      <c r="N23" s="43"/>
      <c r="O23" s="44"/>
      <c r="P23" s="74"/>
      <c r="Q23" s="75"/>
      <c r="R23" s="119"/>
      <c r="S23" s="76">
        <f>SUM(S5:S22)</f>
        <v>1404031125013.1921</v>
      </c>
      <c r="T23" s="113"/>
      <c r="U23" s="327"/>
      <c r="V23" s="63" t="s">
        <v>93</v>
      </c>
      <c r="W23" s="54">
        <f>(((($P$10+$S$17+$S$18)*140+$H$16/$L$16*$L$10/$I$16*3+$H$17+$H$18)/($D$10+100)*($D$10+10+100)+(((SUM($S$5:$S$9)+SUM($S$11:$S$16)+SUM($S$19:$S$22))/12.1*8*140)+$H$23-$H$10-$H$17-$H$18)/($D$10+100)*($D$10+10/12.1*8+100))/$H$23)-1</f>
        <v>0.10798298071560231</v>
      </c>
      <c r="X23" s="54">
        <f>(((($P$10+$S$17+$S$18)*160+$H$16/$L$16*$L$10/$I$16*3+$H$17+$H$18)/($D$10+100)*($D$10+12+100)+(((SUM($S$5:$S$9)+SUM($S$11:$S$16)+SUM($S$19:$S$22))/12.1*8*160)+$H$23-$H$10-$H$17-$H$18)/($D$10+100)*($D$10+12/12.1*8+100))/$H$23)-1</f>
        <v>0.12797532609642204</v>
      </c>
      <c r="Y23" s="55">
        <f>(((($P$10+$S$17+$S$18)*195+$H$16/$L$16*$L$10/$I$16*3+$H$17+$H$18)/($D$10+100)*($D$10+14+100)+(((SUM($S$5:$S$9)+SUM($S$11:$S$16)+SUM($S$19:$S$22))/12.1*8*195)+$H$23-$H$10-$H$17-$H$18)/($D$10+100)*($D$10+14/12.1*8+100))/$H$23)-1</f>
        <v>0.15861452898968942</v>
      </c>
      <c r="Z23" s="332" t="s">
        <v>113</v>
      </c>
      <c r="AA23" s="333"/>
      <c r="AB23" s="334"/>
      <c r="AC23" s="2"/>
      <c r="AD23" s="2"/>
    </row>
    <row r="24" spans="2:32" s="1" customFormat="1" ht="33" customHeight="1" thickBot="1" x14ac:dyDescent="0.35">
      <c r="G24" s="1" t="s">
        <v>142</v>
      </c>
      <c r="H24" s="71">
        <f>H23*(1+AA22+AA24)</f>
        <v>1678242757394776</v>
      </c>
      <c r="L24" s="2" t="s">
        <v>69</v>
      </c>
      <c r="Z24" s="124">
        <f>(S69/(ROUNDDOWN($D$3*($D$4+100)/100+$D$5,0)*4+ROUNDDOWN($D$6*($D$7+100)/100+$D$8,0))*(ROUNDDOWN(($D$3+848*3.2)*($D$4+100)/100+$D$5,0)*4+ROUNDDOWN($D$6*($D$7+100)/100+$D$8,0))-S69)/H23</f>
        <v>2.8521774911217244E-2</v>
      </c>
      <c r="AA24" s="125">
        <f>(Q69/(ROUNDDOWN($D$3*($D$4+100)/100+$D$5,0)*4+ROUNDDOWN($D$6*($D$7+100)/100+$D$8,0))*(ROUNDDOWN(($D$3+848*3.2)*($D$4+100)/100+$D$5,0)*4+ROUNDDOWN($D$6*($D$7+100)/100+$D$8,0))-Q69)/H23</f>
        <v>3.779145745978723E-2</v>
      </c>
      <c r="AB24" s="126">
        <f>(Q69/(ROUNDDOWN($D$3*($D$4+100)/100+$D$5,0)*4+ROUNDDOWN($D$6*($D$7+100)/100+$D$8,0))*(ROUNDDOWN(($D$3+848*3.85)*($D$4+100)/100+$D$5,0)*4+ROUNDDOWN($D$6*($D$7+100)/100+$D$8,0))-Q69)/H23</f>
        <v>4.54672469599431E-2</v>
      </c>
      <c r="AC24" s="2"/>
      <c r="AD24" s="2"/>
    </row>
    <row r="25" spans="2:32" s="1" customFormat="1" ht="33" customHeight="1" thickBot="1" x14ac:dyDescent="0.35">
      <c r="B25" s="51" t="s">
        <v>68</v>
      </c>
      <c r="G25" s="1" t="s">
        <v>115</v>
      </c>
      <c r="H25" s="71">
        <f>H23*(1+X22)</f>
        <v>1647112830211161.3</v>
      </c>
      <c r="J25" s="112"/>
      <c r="P25" s="222" t="s">
        <v>83</v>
      </c>
      <c r="Q25" s="222"/>
      <c r="R25" s="222"/>
      <c r="S25" s="222"/>
      <c r="T25" s="222"/>
      <c r="U25" s="110"/>
      <c r="V25" s="107" t="s">
        <v>100</v>
      </c>
      <c r="W25" s="2">
        <v>10</v>
      </c>
      <c r="X25" s="2" t="s">
        <v>101</v>
      </c>
      <c r="Y25" s="108">
        <f>S13*(W25*3)/H23</f>
        <v>1.5666211917492389E-3</v>
      </c>
      <c r="Z25" s="2"/>
      <c r="AA25" s="2"/>
      <c r="AB25" s="2"/>
      <c r="AC25" s="2"/>
      <c r="AD25" s="2"/>
    </row>
    <row r="26" spans="2:32" s="1" customFormat="1" ht="33" customHeight="1" thickBot="1" x14ac:dyDescent="0.35">
      <c r="B26" s="2" t="s">
        <v>98</v>
      </c>
      <c r="C26" s="2"/>
      <c r="D26" s="2"/>
      <c r="E26" s="2"/>
      <c r="F26" s="2"/>
      <c r="G26" s="2"/>
      <c r="H26" s="2"/>
      <c r="I26" s="2"/>
      <c r="J26" s="2"/>
      <c r="P26" s="85"/>
      <c r="Q26" s="335" t="s">
        <v>95</v>
      </c>
      <c r="R26" s="336"/>
      <c r="S26" s="337" t="s">
        <v>96</v>
      </c>
      <c r="T26" s="336"/>
      <c r="U26" s="111"/>
      <c r="W26" s="2"/>
      <c r="X26" s="2"/>
      <c r="Y26" s="2"/>
      <c r="Z26" s="2"/>
      <c r="AA26" s="2"/>
      <c r="AB26" s="2"/>
      <c r="AC26" s="2"/>
      <c r="AD26" s="2"/>
    </row>
    <row r="27" spans="2:32" ht="33" customHeight="1" x14ac:dyDescent="0.3">
      <c r="B27" s="2" t="s">
        <v>99</v>
      </c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64" t="s">
        <v>84</v>
      </c>
      <c r="Q27" s="61" t="s">
        <v>85</v>
      </c>
      <c r="R27" s="48" t="s">
        <v>86</v>
      </c>
      <c r="S27" s="89" t="s">
        <v>85</v>
      </c>
      <c r="T27" s="48" t="s">
        <v>86</v>
      </c>
      <c r="U27" s="111"/>
      <c r="V27" s="107" t="s">
        <v>102</v>
      </c>
      <c r="W27" s="108">
        <f>(P16/M16*6*45/(D10+100)*(D10+180)+Q5/N5*6*45+Q5/N5*12*20+P13/M13*4*45+Q13/N13*4*45+Q13/N13*9*20)/H23</f>
        <v>7.7125198624360255E-4</v>
      </c>
      <c r="X27" s="2" t="s">
        <v>104</v>
      </c>
      <c r="AE27"/>
      <c r="AF27"/>
    </row>
    <row r="28" spans="2:32" ht="33" customHeight="1" x14ac:dyDescent="0.3">
      <c r="B28" s="2" t="s">
        <v>119</v>
      </c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86" t="s">
        <v>23</v>
      </c>
      <c r="Q28" s="94">
        <v>0</v>
      </c>
      <c r="R28" s="59">
        <v>0</v>
      </c>
      <c r="S28" s="90">
        <v>0</v>
      </c>
      <c r="T28" s="59">
        <v>0</v>
      </c>
      <c r="U28" s="107"/>
      <c r="V28" s="107" t="s">
        <v>106</v>
      </c>
      <c r="W28" s="2">
        <v>10</v>
      </c>
      <c r="X28" s="2" t="s">
        <v>101</v>
      </c>
      <c r="Y28" s="108">
        <f>(H14/(100+D15)*(100+D15+W28)-H14)/H23</f>
        <v>9.8595685190036673E-3</v>
      </c>
      <c r="Z28" s="109"/>
      <c r="AA28" s="109"/>
      <c r="AE28"/>
      <c r="AF28"/>
    </row>
    <row r="29" spans="2:32" ht="33" customHeight="1" x14ac:dyDescent="0.3">
      <c r="B29" s="2" t="s">
        <v>82</v>
      </c>
      <c r="C29" s="2"/>
      <c r="D29" s="2"/>
      <c r="E29" s="2"/>
      <c r="F29" s="2"/>
      <c r="G29" s="2"/>
      <c r="H29" s="2"/>
      <c r="I29" s="2"/>
      <c r="J29" s="2"/>
      <c r="P29" s="87" t="s">
        <v>30</v>
      </c>
      <c r="Q29" s="95">
        <f t="shared" ref="Q29:Q34" si="4">($H$16/$L$16*L6)/$I$16*R29</f>
        <v>11933218076423.465</v>
      </c>
      <c r="R29" s="60">
        <v>30</v>
      </c>
      <c r="S29" s="91">
        <f t="shared" ref="S29:S34" si="5">($H$16/$L$16*L6)/$I$16*T29</f>
        <v>8353252653496.4258</v>
      </c>
      <c r="T29" s="59">
        <v>21</v>
      </c>
      <c r="U29" s="107"/>
      <c r="V29" t="s">
        <v>107</v>
      </c>
      <c r="W29" s="2"/>
      <c r="X29" s="2" t="s">
        <v>101</v>
      </c>
      <c r="Y29" s="108">
        <f>SUM(S5:S22)*10/H23</f>
        <v>9.7872833699512111E-3</v>
      </c>
      <c r="AE29"/>
      <c r="AF29"/>
    </row>
    <row r="30" spans="2:32" ht="33" customHeight="1" x14ac:dyDescent="0.3">
      <c r="B30" s="2" t="s">
        <v>89</v>
      </c>
      <c r="C30" s="2"/>
      <c r="D30" s="2"/>
      <c r="E30" s="2"/>
      <c r="F30" s="2"/>
      <c r="G30" s="2"/>
      <c r="H30" s="2"/>
      <c r="I30" s="2"/>
      <c r="J30" s="2"/>
      <c r="P30" s="87" t="s">
        <v>31</v>
      </c>
      <c r="Q30" s="95">
        <f t="shared" si="4"/>
        <v>21000487298053.719</v>
      </c>
      <c r="R30" s="60">
        <v>6</v>
      </c>
      <c r="S30" s="91">
        <f t="shared" si="5"/>
        <v>21000487298053.719</v>
      </c>
      <c r="T30" s="60">
        <v>6</v>
      </c>
      <c r="U30" s="1"/>
      <c r="W30" s="2"/>
      <c r="X30" s="2"/>
      <c r="AE30"/>
      <c r="AF30"/>
    </row>
    <row r="31" spans="2:32" ht="33" customHeight="1" x14ac:dyDescent="0.3">
      <c r="C31" s="2"/>
      <c r="D31" s="2"/>
      <c r="E31" s="2"/>
      <c r="F31" s="2"/>
      <c r="G31" s="2"/>
      <c r="H31" s="2"/>
      <c r="I31" s="2"/>
      <c r="J31" s="2"/>
      <c r="P31" s="87" t="s">
        <v>32</v>
      </c>
      <c r="Q31" s="95">
        <f t="shared" si="4"/>
        <v>12723824657056.074</v>
      </c>
      <c r="R31" s="60">
        <v>3</v>
      </c>
      <c r="S31" s="91">
        <f t="shared" si="5"/>
        <v>12723824657056.074</v>
      </c>
      <c r="T31" s="60">
        <v>3</v>
      </c>
      <c r="U31" s="1"/>
      <c r="W31" s="2"/>
      <c r="X31" s="2"/>
      <c r="AE31"/>
      <c r="AF31"/>
    </row>
    <row r="32" spans="2:32" ht="33" customHeight="1" x14ac:dyDescent="0.3">
      <c r="C32" s="2"/>
      <c r="D32" s="2"/>
      <c r="E32" s="2"/>
      <c r="F32" s="2"/>
      <c r="G32" s="2"/>
      <c r="H32" s="2"/>
      <c r="I32" s="2"/>
      <c r="J32" s="2"/>
      <c r="P32" s="87" t="s">
        <v>9</v>
      </c>
      <c r="Q32" s="95">
        <f t="shared" si="4"/>
        <v>35936662756027.75</v>
      </c>
      <c r="R32" s="60">
        <v>8</v>
      </c>
      <c r="S32" s="91">
        <f t="shared" si="5"/>
        <v>26952497067020.813</v>
      </c>
      <c r="T32" s="59">
        <v>6</v>
      </c>
      <c r="U32" s="107"/>
      <c r="W32" s="2"/>
      <c r="X32" s="2"/>
      <c r="AE32"/>
      <c r="AF32"/>
    </row>
    <row r="33" spans="3:32" ht="33" customHeight="1" x14ac:dyDescent="0.3">
      <c r="C33" s="47"/>
      <c r="D33" s="47"/>
      <c r="E33" s="47"/>
      <c r="F33" s="47"/>
      <c r="G33" s="47"/>
      <c r="H33" s="47"/>
      <c r="P33" s="86" t="s">
        <v>19</v>
      </c>
      <c r="Q33" s="95">
        <f t="shared" si="4"/>
        <v>31444579911524.281</v>
      </c>
      <c r="R33" s="59">
        <v>3</v>
      </c>
      <c r="S33" s="91">
        <f t="shared" si="5"/>
        <v>31444579911524.281</v>
      </c>
      <c r="T33" s="59">
        <v>3</v>
      </c>
      <c r="U33" s="107"/>
      <c r="W33" s="2"/>
      <c r="X33" s="2"/>
      <c r="AE33"/>
      <c r="AF33"/>
    </row>
    <row r="34" spans="3:32" ht="33" customHeight="1" x14ac:dyDescent="0.3">
      <c r="P34" s="87" t="s">
        <v>13</v>
      </c>
      <c r="Q34" s="95">
        <f t="shared" si="4"/>
        <v>33724311955109.797</v>
      </c>
      <c r="R34" s="60">
        <v>24</v>
      </c>
      <c r="S34" s="91">
        <f t="shared" si="5"/>
        <v>25293233966332.348</v>
      </c>
      <c r="T34" s="59">
        <v>18</v>
      </c>
      <c r="U34" s="107"/>
      <c r="W34" s="2"/>
      <c r="X34" s="2"/>
      <c r="AE34"/>
      <c r="AF34"/>
    </row>
    <row r="35" spans="3:32" ht="33" customHeight="1" x14ac:dyDescent="0.3">
      <c r="F35" s="2" t="s">
        <v>79</v>
      </c>
      <c r="G35" s="2"/>
      <c r="H35" s="2"/>
      <c r="I35" s="2"/>
      <c r="J35" s="2"/>
      <c r="K35" s="2"/>
      <c r="L35" s="2"/>
      <c r="M35" s="2"/>
      <c r="P35" s="87" t="s">
        <v>22</v>
      </c>
      <c r="Q35" s="95">
        <f>$H$12/$I$12*$R$35</f>
        <v>47421884588754.414</v>
      </c>
      <c r="R35" s="60">
        <v>24</v>
      </c>
      <c r="S35" s="91">
        <f>$H$12/$I$12*T35</f>
        <v>35566413441565.813</v>
      </c>
      <c r="T35" s="59">
        <v>18</v>
      </c>
      <c r="U35" s="107"/>
      <c r="W35" s="2"/>
      <c r="X35" s="2"/>
      <c r="AE35"/>
      <c r="AF35"/>
    </row>
    <row r="36" spans="3:32" ht="33" customHeight="1" x14ac:dyDescent="0.3">
      <c r="F36" s="2" t="s">
        <v>97</v>
      </c>
      <c r="G36" s="2"/>
      <c r="H36" s="2"/>
      <c r="I36" s="2" t="s">
        <v>64</v>
      </c>
      <c r="J36" s="2"/>
      <c r="K36" s="2" t="s">
        <v>66</v>
      </c>
      <c r="L36" s="2"/>
      <c r="P36" s="87" t="s">
        <v>17</v>
      </c>
      <c r="Q36" s="95">
        <f>($H$16/$L$16*L13)/$I$16*R36</f>
        <v>17368638318272.664</v>
      </c>
      <c r="R36" s="60">
        <f>ROUNDDOWN($M$13/24*20,0)</f>
        <v>95</v>
      </c>
      <c r="S36" s="91">
        <f>($H$16/$L$16*L13)/$I$16*T36</f>
        <v>13346427339304.258</v>
      </c>
      <c r="T36" s="59">
        <v>73</v>
      </c>
      <c r="U36" s="107"/>
      <c r="W36" s="2"/>
      <c r="X36" s="2"/>
      <c r="AE36"/>
      <c r="AF36"/>
    </row>
    <row r="37" spans="3:32" ht="33" customHeight="1" x14ac:dyDescent="0.3">
      <c r="F37" s="2" t="s">
        <v>61</v>
      </c>
      <c r="G37" s="2"/>
      <c r="H37" s="2"/>
      <c r="I37" s="2" t="s">
        <v>65</v>
      </c>
      <c r="J37" s="2"/>
      <c r="K37" s="2" t="s">
        <v>92</v>
      </c>
      <c r="L37" s="2"/>
      <c r="P37" s="87" t="s">
        <v>16</v>
      </c>
      <c r="Q37" s="95">
        <f>($H$16/$L$16*L14)/$I$16*R37</f>
        <v>38801488590109.844</v>
      </c>
      <c r="R37" s="60">
        <f>ROUNDDOWN($I$14/113*20,0)</f>
        <v>12</v>
      </c>
      <c r="S37" s="91">
        <f>($H$16/$L$16*L14)/$I$16*T37</f>
        <v>29101116442582.383</v>
      </c>
      <c r="T37" s="59">
        <v>9</v>
      </c>
      <c r="U37" s="107"/>
      <c r="W37" s="2"/>
      <c r="X37" s="2"/>
      <c r="AE37"/>
      <c r="AF37"/>
    </row>
    <row r="38" spans="3:32" ht="33" customHeight="1" x14ac:dyDescent="0.3">
      <c r="F38" s="2" t="s">
        <v>81</v>
      </c>
      <c r="G38" s="2"/>
      <c r="H38" s="2"/>
      <c r="I38" s="2" t="s">
        <v>76</v>
      </c>
      <c r="J38" s="2"/>
      <c r="K38" s="2" t="s">
        <v>75</v>
      </c>
      <c r="L38" s="2"/>
      <c r="M38" s="2"/>
      <c r="P38" s="86" t="s">
        <v>18</v>
      </c>
      <c r="Q38" s="96">
        <f>H15/I15*R38</f>
        <v>58238675567744.156</v>
      </c>
      <c r="R38" s="59">
        <v>57</v>
      </c>
      <c r="S38" s="92">
        <f>H15/I15*T38</f>
        <v>42912708313074.641</v>
      </c>
      <c r="T38" s="59">
        <v>42</v>
      </c>
      <c r="U38" s="107"/>
      <c r="V38" t="s">
        <v>108</v>
      </c>
      <c r="W38" s="2"/>
      <c r="X38" s="2"/>
      <c r="Z38" s="29"/>
      <c r="AE38"/>
      <c r="AF38"/>
    </row>
    <row r="39" spans="3:32" ht="33" customHeight="1" x14ac:dyDescent="0.3">
      <c r="F39" s="2" t="s">
        <v>87</v>
      </c>
      <c r="G39" s="2"/>
      <c r="H39" s="2"/>
      <c r="I39" s="2"/>
      <c r="J39" s="2"/>
      <c r="K39" s="2" t="s">
        <v>73</v>
      </c>
      <c r="L39" s="2"/>
      <c r="M39" s="2"/>
      <c r="P39" s="86" t="s">
        <v>21</v>
      </c>
      <c r="Q39" s="96">
        <f>H16/I16*R39</f>
        <v>109251946861168.88</v>
      </c>
      <c r="R39" s="59">
        <v>67</v>
      </c>
      <c r="S39" s="92">
        <f>H16/I16*T39</f>
        <v>81531303627737.969</v>
      </c>
      <c r="T39" s="59">
        <v>50</v>
      </c>
      <c r="U39" s="107"/>
      <c r="V39" t="s">
        <v>109</v>
      </c>
      <c r="W39" s="2"/>
      <c r="X39" s="2"/>
      <c r="AE39"/>
      <c r="AF39"/>
    </row>
    <row r="40" spans="3:32" ht="33" customHeight="1" x14ac:dyDescent="0.3">
      <c r="F40"/>
      <c r="K40" s="2" t="s">
        <v>74</v>
      </c>
      <c r="P40" s="86" t="s">
        <v>27</v>
      </c>
      <c r="Q40" s="96">
        <f>H17/I17*R40</f>
        <v>65968359156719.18</v>
      </c>
      <c r="R40" s="59">
        <v>3</v>
      </c>
      <c r="S40" s="92">
        <f>H17/I17*T40</f>
        <v>65968359156719.18</v>
      </c>
      <c r="T40" s="59">
        <v>3</v>
      </c>
      <c r="U40" s="107"/>
      <c r="V40" t="s">
        <v>110</v>
      </c>
      <c r="W40" s="2"/>
      <c r="X40" s="2"/>
      <c r="AE40"/>
      <c r="AF40"/>
    </row>
    <row r="41" spans="3:32" ht="33" customHeight="1" x14ac:dyDescent="0.3">
      <c r="P41" s="87" t="s">
        <v>26</v>
      </c>
      <c r="Q41" s="96">
        <f>H18/I18*R41</f>
        <v>81576028692571.875</v>
      </c>
      <c r="R41" s="60">
        <v>1</v>
      </c>
      <c r="S41" s="92">
        <f>H18/I18*T41</f>
        <v>81576028692571.875</v>
      </c>
      <c r="T41" s="59">
        <v>1</v>
      </c>
      <c r="U41" s="107"/>
      <c r="V41" t="s">
        <v>111</v>
      </c>
      <c r="W41" s="2"/>
      <c r="X41" s="2"/>
      <c r="AE41"/>
      <c r="AF41"/>
    </row>
    <row r="42" spans="3:32" ht="33" customHeight="1" x14ac:dyDescent="0.3">
      <c r="P42" s="86" t="s">
        <v>20</v>
      </c>
      <c r="Q42" s="95">
        <f>($H$16/$L$16*L19)/$I$16*R42</f>
        <v>15750365473540.285</v>
      </c>
      <c r="R42" s="59">
        <v>170</v>
      </c>
      <c r="S42" s="91">
        <f>($H$16/$L$16*L19)/$I$16*T42</f>
        <v>12507643170164.344</v>
      </c>
      <c r="T42" s="59">
        <v>135</v>
      </c>
      <c r="U42" s="107"/>
      <c r="W42" s="2"/>
      <c r="X42" s="2"/>
      <c r="AE42"/>
      <c r="AF42"/>
    </row>
    <row r="43" spans="3:32" ht="33" customHeight="1" x14ac:dyDescent="0.3">
      <c r="M43">
        <f>848*3.2</f>
        <v>2713.6000000000004</v>
      </c>
      <c r="P43" s="87" t="s">
        <v>12</v>
      </c>
      <c r="Q43" s="95">
        <f>($H$16/$L$16*L20)/$I$16*R43</f>
        <v>5053593200066.4023</v>
      </c>
      <c r="R43" s="60">
        <v>9</v>
      </c>
      <c r="S43" s="91">
        <f>($H$16/$L$16*L20)/$I$16*T43</f>
        <v>3369062133377.6016</v>
      </c>
      <c r="T43" s="59">
        <v>6</v>
      </c>
      <c r="U43" s="107"/>
      <c r="W43" s="2"/>
      <c r="X43" s="2"/>
      <c r="AE43"/>
      <c r="AF43"/>
    </row>
    <row r="44" spans="3:32" ht="33" customHeight="1" x14ac:dyDescent="0.3">
      <c r="P44" s="86" t="s">
        <v>25</v>
      </c>
      <c r="Q44" s="95">
        <f>($H$16/$L$16*L21)/$I$16*R44</f>
        <v>2882419825223.0591</v>
      </c>
      <c r="R44" s="59">
        <v>10</v>
      </c>
      <c r="S44" s="91">
        <f>($H$16/$L$16*L21)/$I$16*T44</f>
        <v>1441209912611.5295</v>
      </c>
      <c r="T44" s="59">
        <v>5</v>
      </c>
      <c r="U44" s="107"/>
      <c r="W44" s="2"/>
      <c r="X44" s="2"/>
      <c r="AE44"/>
      <c r="AF44"/>
    </row>
    <row r="45" spans="3:32" ht="33" customHeight="1" x14ac:dyDescent="0.3">
      <c r="P45" s="86" t="s">
        <v>24</v>
      </c>
      <c r="Q45" s="95">
        <f>($H$16/$L$16*L22)/$I$16*R45</f>
        <v>3057423886040.1729</v>
      </c>
      <c r="R45" s="59">
        <v>9</v>
      </c>
      <c r="S45" s="91">
        <f>($H$16/$L$16*L22)/$I$16*T45</f>
        <v>2377996355809.0234</v>
      </c>
      <c r="T45" s="59">
        <v>7</v>
      </c>
      <c r="U45" s="107"/>
      <c r="W45" s="2"/>
      <c r="X45" s="2"/>
      <c r="AE45"/>
      <c r="AF45"/>
    </row>
    <row r="46" spans="3:32" ht="33" customHeight="1" thickBot="1" x14ac:dyDescent="0.35">
      <c r="P46" s="88" t="s">
        <v>36</v>
      </c>
      <c r="Q46" s="97">
        <f>SUM(Q28:Q45)</f>
        <v>592133908814405.75</v>
      </c>
      <c r="R46" s="44"/>
      <c r="S46" s="93">
        <f>SUM(S28:S45)</f>
        <v>495466144139002.25</v>
      </c>
      <c r="T46" s="44"/>
      <c r="U46" s="1"/>
      <c r="W46" s="2"/>
      <c r="X46" s="2"/>
      <c r="AE46"/>
      <c r="AF46"/>
    </row>
    <row r="47" spans="3:32" ht="33" customHeight="1" x14ac:dyDescent="0.3">
      <c r="W47" s="2"/>
      <c r="X47" s="2"/>
      <c r="AE47"/>
      <c r="AF47"/>
    </row>
    <row r="48" spans="3:32" ht="33" customHeight="1" thickBot="1" x14ac:dyDescent="0.35">
      <c r="P48" s="338" t="s">
        <v>122</v>
      </c>
      <c r="Q48" s="338"/>
      <c r="R48" s="338"/>
      <c r="S48" s="338"/>
      <c r="T48" s="338"/>
      <c r="U48" s="110"/>
      <c r="W48" s="2"/>
      <c r="X48" s="2"/>
      <c r="AE48"/>
      <c r="AF48"/>
    </row>
    <row r="49" spans="16:32" ht="33" customHeight="1" thickBot="1" x14ac:dyDescent="0.35">
      <c r="P49" s="85"/>
      <c r="Q49" s="335" t="s">
        <v>95</v>
      </c>
      <c r="R49" s="336"/>
      <c r="S49" s="337" t="s">
        <v>96</v>
      </c>
      <c r="T49" s="336"/>
      <c r="U49" s="111"/>
      <c r="W49" s="2"/>
      <c r="X49" s="2"/>
      <c r="AE49"/>
      <c r="AF49"/>
    </row>
    <row r="50" spans="16:32" ht="33" customHeight="1" x14ac:dyDescent="0.3">
      <c r="P50" s="64" t="s">
        <v>84</v>
      </c>
      <c r="Q50" s="61" t="s">
        <v>85</v>
      </c>
      <c r="R50" s="48" t="s">
        <v>86</v>
      </c>
      <c r="S50" s="89" t="s">
        <v>85</v>
      </c>
      <c r="T50" s="48" t="s">
        <v>86</v>
      </c>
      <c r="U50" s="111"/>
      <c r="W50" s="2"/>
      <c r="X50" s="2"/>
      <c r="AE50"/>
      <c r="AF50"/>
    </row>
    <row r="51" spans="16:32" ht="33" customHeight="1" x14ac:dyDescent="0.3">
      <c r="P51" s="86" t="s">
        <v>23</v>
      </c>
      <c r="Q51" s="95">
        <f>$Q5/$N5*R51*(기준표!$T$10-58.5)</f>
        <v>92447032057419.375</v>
      </c>
      <c r="R51" s="59">
        <v>99</v>
      </c>
      <c r="S51" s="91">
        <f>$Q5/$N5*T51*(기준표!$T$10-58.5)</f>
        <v>70035630346529.828</v>
      </c>
      <c r="T51" s="59">
        <v>75</v>
      </c>
      <c r="U51" s="107"/>
      <c r="W51" s="2"/>
      <c r="X51" s="2"/>
      <c r="AE51"/>
      <c r="AF51"/>
    </row>
    <row r="52" spans="16:32" ht="33" customHeight="1" x14ac:dyDescent="0.3">
      <c r="P52" s="87" t="s">
        <v>30</v>
      </c>
      <c r="Q52" s="95">
        <f>$Q6/$N6*R52*(기준표!$T$10-58.5)</f>
        <v>9155452647111.5996</v>
      </c>
      <c r="R52" s="60">
        <v>30</v>
      </c>
      <c r="S52" s="91">
        <f>Q6/N6*T52*(기준표!$T$10-58.5)</f>
        <v>6408816852978.1191</v>
      </c>
      <c r="T52" s="59">
        <v>21</v>
      </c>
      <c r="U52" s="107"/>
      <c r="W52" s="2"/>
      <c r="X52" s="2"/>
      <c r="AE52"/>
      <c r="AF52"/>
    </row>
    <row r="53" spans="16:32" ht="33" customHeight="1" x14ac:dyDescent="0.3">
      <c r="P53" s="87" t="s">
        <v>31</v>
      </c>
      <c r="Q53" s="95">
        <f>$Q7/$N7*R53*(기준표!$T$10-58.5)</f>
        <v>16112080227836.15</v>
      </c>
      <c r="R53" s="60">
        <v>6</v>
      </c>
      <c r="S53" s="91">
        <f>Q7/N7*T53*(기준표!$T$10-58.5)</f>
        <v>8056040113918.0752</v>
      </c>
      <c r="T53" s="60">
        <v>3</v>
      </c>
      <c r="U53" s="1"/>
      <c r="W53" s="2"/>
      <c r="X53" s="2"/>
      <c r="AE53"/>
      <c r="AF53"/>
    </row>
    <row r="54" spans="16:32" ht="33" customHeight="1" x14ac:dyDescent="0.3">
      <c r="P54" s="87" t="s">
        <v>32</v>
      </c>
      <c r="Q54" s="95">
        <f>$Q8/$N8*R54*(기준표!$T$10-58.5)</f>
        <v>0</v>
      </c>
      <c r="R54" s="60">
        <v>0</v>
      </c>
      <c r="S54" s="91">
        <f>Q8/N8*T54*(기준표!$T$10-58.5)</f>
        <v>0</v>
      </c>
      <c r="T54" s="60">
        <v>0</v>
      </c>
      <c r="U54" s="1"/>
      <c r="W54" s="2"/>
      <c r="X54" s="2"/>
      <c r="AE54"/>
      <c r="AF54"/>
    </row>
    <row r="55" spans="16:32" ht="33" customHeight="1" x14ac:dyDescent="0.3">
      <c r="P55" s="87" t="s">
        <v>9</v>
      </c>
      <c r="Q55" s="95">
        <f>$Q9/$N9*R55*(기준표!$T$10-58.5)</f>
        <v>30475110930769.656</v>
      </c>
      <c r="R55" s="60">
        <v>9</v>
      </c>
      <c r="S55" s="91">
        <f>Q9/N9*T55*(기준표!$T$10-58.5)</f>
        <v>20316740620513.105</v>
      </c>
      <c r="T55" s="59">
        <v>6</v>
      </c>
      <c r="U55" s="107"/>
      <c r="W55" s="2"/>
      <c r="X55" s="2"/>
      <c r="AE55"/>
      <c r="AF55"/>
    </row>
    <row r="56" spans="16:32" ht="33" customHeight="1" x14ac:dyDescent="0.3">
      <c r="P56" s="86" t="s">
        <v>19</v>
      </c>
      <c r="Q56" s="95">
        <f>$Q10/$N10*R56*(기준표!$T$10-58.5)</f>
        <v>23702864057265.285</v>
      </c>
      <c r="R56" s="59">
        <v>3</v>
      </c>
      <c r="S56" s="91">
        <f>Q10/N10*T56*(기준표!$T$10-58.5)</f>
        <v>23702864057265.285</v>
      </c>
      <c r="T56" s="59">
        <v>3</v>
      </c>
      <c r="U56" s="107"/>
      <c r="W56" s="2"/>
      <c r="X56" s="2"/>
      <c r="AE56"/>
      <c r="AF56"/>
    </row>
    <row r="57" spans="16:32" ht="33" customHeight="1" x14ac:dyDescent="0.3">
      <c r="P57" s="87" t="s">
        <v>13</v>
      </c>
      <c r="Q57" s="95">
        <f>$Q11/$N11*R57*(기준표!$T$10-58.5)</f>
        <v>9763915276906.5059</v>
      </c>
      <c r="R57" s="60">
        <v>9</v>
      </c>
      <c r="S57" s="91">
        <f>Q11/N11*T57*(기준표!$T$10-58.5)</f>
        <v>6509276851271.0049</v>
      </c>
      <c r="T57" s="59">
        <v>6</v>
      </c>
      <c r="U57" s="107"/>
      <c r="W57" s="2"/>
      <c r="X57" s="2"/>
      <c r="AE57"/>
      <c r="AF57"/>
    </row>
    <row r="58" spans="16:32" ht="33" customHeight="1" x14ac:dyDescent="0.3">
      <c r="P58" s="87" t="s">
        <v>22</v>
      </c>
      <c r="Q58" s="95">
        <v>0</v>
      </c>
      <c r="R58" s="60">
        <v>0</v>
      </c>
      <c r="S58" s="91">
        <v>0</v>
      </c>
      <c r="T58" s="59">
        <v>0</v>
      </c>
      <c r="U58" s="107"/>
      <c r="W58" s="2"/>
      <c r="X58" s="2"/>
      <c r="AE58"/>
      <c r="AF58"/>
    </row>
    <row r="59" spans="16:32" ht="33" customHeight="1" x14ac:dyDescent="0.3">
      <c r="P59" s="87" t="s">
        <v>17</v>
      </c>
      <c r="Q59" s="95">
        <f>$Q13/$N13*R59*(기준표!$T$10-58.5)</f>
        <v>12063209243523.441</v>
      </c>
      <c r="R59" s="60">
        <v>86</v>
      </c>
      <c r="S59" s="91">
        <f>Q13/N13*T59*(기준표!$T$10-58.5)</f>
        <v>8837002120255.5449</v>
      </c>
      <c r="T59" s="59">
        <v>63</v>
      </c>
      <c r="U59" s="107"/>
      <c r="W59" s="2"/>
      <c r="X59" s="2"/>
      <c r="AE59"/>
      <c r="AF59"/>
    </row>
    <row r="60" spans="16:32" ht="33" customHeight="1" x14ac:dyDescent="0.3">
      <c r="P60" s="87" t="s">
        <v>16</v>
      </c>
      <c r="Q60" s="95">
        <f>$Q14/$N14*R60*(기준표!$T$10-58.5)</f>
        <v>30452923950923.645</v>
      </c>
      <c r="R60" s="60">
        <v>12</v>
      </c>
      <c r="S60" s="91">
        <f>Q14/N14*T60*(기준표!$T$10-58.5)</f>
        <v>22839692963192.734</v>
      </c>
      <c r="T60" s="59">
        <v>9</v>
      </c>
      <c r="U60" s="107"/>
      <c r="W60" s="2"/>
      <c r="X60" s="2"/>
      <c r="AE60"/>
      <c r="AF60"/>
    </row>
    <row r="61" spans="16:32" ht="33" customHeight="1" x14ac:dyDescent="0.3">
      <c r="P61" s="86" t="s">
        <v>18</v>
      </c>
      <c r="Q61" s="95">
        <v>0</v>
      </c>
      <c r="R61" s="59">
        <v>0</v>
      </c>
      <c r="S61" s="91">
        <v>0</v>
      </c>
      <c r="T61" s="59">
        <v>0</v>
      </c>
      <c r="U61" s="107"/>
      <c r="W61" s="2"/>
      <c r="X61" s="2"/>
      <c r="AE61"/>
      <c r="AF61"/>
    </row>
    <row r="62" spans="16:32" ht="33" customHeight="1" x14ac:dyDescent="0.3">
      <c r="P62" s="86" t="s">
        <v>21</v>
      </c>
      <c r="Q62" s="95">
        <v>0</v>
      </c>
      <c r="R62" s="59">
        <v>0</v>
      </c>
      <c r="S62" s="91">
        <v>0</v>
      </c>
      <c r="T62" s="59">
        <v>0</v>
      </c>
      <c r="U62" s="107"/>
      <c r="W62" s="2"/>
      <c r="X62" s="2"/>
      <c r="AE62"/>
      <c r="AF62"/>
    </row>
    <row r="63" spans="16:32" ht="33" customHeight="1" x14ac:dyDescent="0.3">
      <c r="P63" s="86" t="s">
        <v>27</v>
      </c>
      <c r="Q63" s="95">
        <v>0</v>
      </c>
      <c r="R63" s="59">
        <v>0</v>
      </c>
      <c r="S63" s="91">
        <v>0</v>
      </c>
      <c r="T63" s="59">
        <v>0</v>
      </c>
      <c r="U63" s="107"/>
      <c r="W63" s="2"/>
      <c r="X63" s="2"/>
      <c r="AE63"/>
      <c r="AF63"/>
    </row>
    <row r="64" spans="16:32" ht="33" customHeight="1" x14ac:dyDescent="0.3">
      <c r="P64" s="87" t="s">
        <v>26</v>
      </c>
      <c r="Q64" s="95">
        <v>0</v>
      </c>
      <c r="R64" s="60">
        <v>0</v>
      </c>
      <c r="S64" s="91">
        <v>0</v>
      </c>
      <c r="T64" s="59">
        <v>0</v>
      </c>
      <c r="U64" s="107"/>
      <c r="W64" s="2"/>
      <c r="X64" s="2"/>
      <c r="AE64"/>
      <c r="AF64"/>
    </row>
    <row r="65" spans="16:32" ht="33" customHeight="1" x14ac:dyDescent="0.3">
      <c r="P65" s="86" t="s">
        <v>20</v>
      </c>
      <c r="Q65" s="95">
        <f>$Q19/$N19*R65*(기준표!$T$10-58.5)</f>
        <v>12570983258942.486</v>
      </c>
      <c r="R65" s="59">
        <v>180</v>
      </c>
      <c r="S65" s="91">
        <f>Q19/N19*T65*(기준표!$T$10-58.5)</f>
        <v>9428237444206.8652</v>
      </c>
      <c r="T65" s="59">
        <v>135</v>
      </c>
      <c r="U65" s="107"/>
      <c r="W65" s="2"/>
      <c r="X65" s="2"/>
      <c r="AE65"/>
      <c r="AF65"/>
    </row>
    <row r="66" spans="16:32" ht="33" customHeight="1" x14ac:dyDescent="0.3">
      <c r="P66" s="87" t="s">
        <v>12</v>
      </c>
      <c r="Q66" s="95">
        <f>$Q20/$N20*R66*(기준표!$T$10-58.5)</f>
        <v>0</v>
      </c>
      <c r="R66" s="60">
        <v>0</v>
      </c>
      <c r="S66" s="91">
        <f>Q20/N20*T66*(기준표!$T$10-58.5)</f>
        <v>2539592577564.1382</v>
      </c>
      <c r="T66" s="59">
        <v>6</v>
      </c>
      <c r="U66" s="107"/>
      <c r="W66" s="2"/>
      <c r="X66" s="2"/>
      <c r="AE66"/>
      <c r="AF66"/>
    </row>
    <row r="67" spans="16:32" ht="33" customHeight="1" x14ac:dyDescent="0.3">
      <c r="P67" s="86" t="s">
        <v>25</v>
      </c>
      <c r="Q67" s="95">
        <f>$Q21/$N21*R67*(기준표!$T$10-58.5)</f>
        <v>0</v>
      </c>
      <c r="R67" s="59">
        <v>0</v>
      </c>
      <c r="S67" s="91">
        <f>Q21/N21*T67*(기준표!$T$10-58.5)</f>
        <v>0</v>
      </c>
      <c r="T67" s="59">
        <v>0</v>
      </c>
      <c r="U67" s="107"/>
      <c r="W67" s="2"/>
      <c r="X67" s="2"/>
      <c r="AE67"/>
      <c r="AF67"/>
    </row>
    <row r="68" spans="16:32" ht="33" customHeight="1" x14ac:dyDescent="0.3">
      <c r="P68" s="86" t="s">
        <v>24</v>
      </c>
      <c r="Q68" s="95">
        <f>$Q22/$N22*R68*(기준표!$T$10-58.5)</f>
        <v>0</v>
      </c>
      <c r="R68" s="59">
        <v>0</v>
      </c>
      <c r="S68" s="91">
        <f>Q22/N22*T68*(기준표!$T$10-58.5)</f>
        <v>0</v>
      </c>
      <c r="T68" s="59">
        <v>0</v>
      </c>
      <c r="U68" s="107"/>
      <c r="W68" s="2"/>
      <c r="X68" s="2"/>
      <c r="AE68"/>
      <c r="AF68"/>
    </row>
    <row r="69" spans="16:32" ht="33" customHeight="1" thickBot="1" x14ac:dyDescent="0.35">
      <c r="P69" s="88" t="s">
        <v>36</v>
      </c>
      <c r="Q69" s="97">
        <f>SUM(Q51:Q68)</f>
        <v>236743571650698.16</v>
      </c>
      <c r="R69" s="44"/>
      <c r="S69" s="93">
        <f>SUM(S51:S68)</f>
        <v>178673893947694.69</v>
      </c>
      <c r="T69" s="44"/>
      <c r="U69" s="1"/>
      <c r="W69" s="2"/>
      <c r="X69" s="2"/>
      <c r="AE69"/>
      <c r="AF69"/>
    </row>
    <row r="70" spans="16:32" ht="33" customHeight="1" x14ac:dyDescent="0.3">
      <c r="W70" s="2"/>
      <c r="X70" s="2"/>
      <c r="AE70"/>
      <c r="AF70"/>
    </row>
    <row r="71" spans="16:32" ht="33" customHeight="1" x14ac:dyDescent="0.3">
      <c r="W71" s="2"/>
      <c r="X71" s="2"/>
      <c r="AE71"/>
      <c r="AF71"/>
    </row>
    <row r="72" spans="16:32" ht="33" customHeight="1" x14ac:dyDescent="0.3">
      <c r="W72" s="2"/>
      <c r="X72" s="2"/>
      <c r="AE72"/>
      <c r="AF72"/>
    </row>
    <row r="73" spans="16:32" ht="33" customHeight="1" x14ac:dyDescent="0.3">
      <c r="W73" s="2"/>
      <c r="X73" s="2"/>
      <c r="AE73"/>
      <c r="AF73"/>
    </row>
    <row r="74" spans="16:32" ht="33" customHeight="1" x14ac:dyDescent="0.3">
      <c r="W74" s="2"/>
      <c r="X74" s="2"/>
      <c r="AE74"/>
      <c r="AF74"/>
    </row>
    <row r="75" spans="16:32" ht="33" customHeight="1" x14ac:dyDescent="0.3">
      <c r="W75" s="2"/>
      <c r="X75" s="2"/>
      <c r="AE75"/>
      <c r="AF75"/>
    </row>
    <row r="76" spans="16:32" ht="33" customHeight="1" x14ac:dyDescent="0.3">
      <c r="W76" s="2"/>
      <c r="X76" s="2"/>
      <c r="AE76"/>
      <c r="AF76"/>
    </row>
    <row r="77" spans="16:32" ht="33" customHeight="1" x14ac:dyDescent="0.3">
      <c r="W77" s="2"/>
      <c r="X77" s="2"/>
      <c r="AE77"/>
      <c r="AF77"/>
    </row>
    <row r="78" spans="16:32" ht="33" customHeight="1" x14ac:dyDescent="0.3">
      <c r="W78" s="2"/>
      <c r="X78" s="2"/>
      <c r="AE78"/>
      <c r="AF78"/>
    </row>
    <row r="79" spans="16:32" ht="33" customHeight="1" x14ac:dyDescent="0.3">
      <c r="W79" s="2"/>
      <c r="X79" s="2"/>
      <c r="AE79"/>
      <c r="AF79"/>
    </row>
    <row r="80" spans="16:32" ht="33" customHeight="1" x14ac:dyDescent="0.3">
      <c r="W80" s="2"/>
      <c r="X80" s="2"/>
      <c r="AE80"/>
      <c r="AF80"/>
    </row>
    <row r="81" spans="23:32" ht="33" customHeight="1" x14ac:dyDescent="0.3">
      <c r="W81" s="2"/>
      <c r="X81" s="2"/>
      <c r="AE81"/>
      <c r="AF81"/>
    </row>
    <row r="82" spans="23:32" ht="33" customHeight="1" x14ac:dyDescent="0.3">
      <c r="W82" s="2"/>
      <c r="X82" s="2"/>
      <c r="AE82"/>
      <c r="AF82"/>
    </row>
    <row r="83" spans="23:32" ht="33" customHeight="1" x14ac:dyDescent="0.3">
      <c r="W83" s="2"/>
      <c r="X83" s="2"/>
      <c r="AE83"/>
      <c r="AF83"/>
    </row>
    <row r="84" spans="23:32" ht="33" customHeight="1" x14ac:dyDescent="0.3">
      <c r="W84" s="2"/>
      <c r="X84" s="2"/>
      <c r="AE84"/>
      <c r="AF84"/>
    </row>
    <row r="85" spans="23:32" ht="33" customHeight="1" x14ac:dyDescent="0.3">
      <c r="W85" s="2"/>
      <c r="X85" s="2"/>
      <c r="AE85"/>
      <c r="AF85"/>
    </row>
    <row r="86" spans="23:32" ht="33" customHeight="1" x14ac:dyDescent="0.3">
      <c r="W86" s="2"/>
      <c r="X86" s="2"/>
      <c r="AE86"/>
      <c r="AF86"/>
    </row>
    <row r="87" spans="23:32" ht="33" customHeight="1" x14ac:dyDescent="0.3">
      <c r="W87" s="2"/>
      <c r="X87" s="2"/>
      <c r="AE87"/>
      <c r="AF87"/>
    </row>
    <row r="88" spans="23:32" ht="33" customHeight="1" x14ac:dyDescent="0.3">
      <c r="W88" s="2"/>
      <c r="X88" s="2"/>
      <c r="AE88"/>
      <c r="AF88"/>
    </row>
    <row r="89" spans="23:32" ht="33" customHeight="1" x14ac:dyDescent="0.3"/>
    <row r="90" spans="23:32" ht="33" customHeight="1" x14ac:dyDescent="0.3"/>
    <row r="91" spans="23:32" ht="33" customHeight="1" x14ac:dyDescent="0.3"/>
    <row r="92" spans="23:32" ht="33" customHeight="1" x14ac:dyDescent="0.3"/>
    <row r="93" spans="23:32" ht="33" customHeight="1" x14ac:dyDescent="0.3"/>
    <row r="94" spans="23:32" ht="33" customHeight="1" x14ac:dyDescent="0.3"/>
    <row r="95" spans="23:32" ht="33" customHeight="1" x14ac:dyDescent="0.3"/>
    <row r="96" spans="23:32" ht="33" customHeight="1" x14ac:dyDescent="0.3"/>
    <row r="97" ht="33" customHeight="1" x14ac:dyDescent="0.3"/>
    <row r="98" ht="33" customHeight="1" x14ac:dyDescent="0.3"/>
    <row r="99" ht="33" customHeight="1" x14ac:dyDescent="0.3"/>
    <row r="100" ht="33" customHeight="1" x14ac:dyDescent="0.3"/>
    <row r="101" ht="33" customHeight="1" x14ac:dyDescent="0.3"/>
    <row r="102" ht="33" customHeight="1" x14ac:dyDescent="0.3"/>
    <row r="103" ht="33" customHeight="1" x14ac:dyDescent="0.3"/>
    <row r="104" ht="33" customHeight="1" x14ac:dyDescent="0.3"/>
    <row r="105" ht="33" customHeight="1" x14ac:dyDescent="0.3"/>
    <row r="106" ht="33" customHeight="1" x14ac:dyDescent="0.3"/>
    <row r="107" ht="33" customHeight="1" x14ac:dyDescent="0.3"/>
    <row r="108" ht="33" customHeight="1" x14ac:dyDescent="0.3"/>
    <row r="109" ht="33" customHeight="1" x14ac:dyDescent="0.3"/>
    <row r="110" ht="33" customHeight="1" x14ac:dyDescent="0.3"/>
    <row r="111" ht="33" customHeight="1" x14ac:dyDescent="0.3"/>
    <row r="112" ht="33" customHeight="1" x14ac:dyDescent="0.3"/>
  </sheetData>
  <sheetProtection algorithmName="SHA-512" hashValue="JTBmdCWVa+BFW0nGTo8Kn1/beuwMnv3PacXRX8pgloL7K3Hx6Gy4sJOZbcbaQP853Z2GjmD9r1ItrTGZsB6Iwg==" saltValue="mo42dh+YFbhaO/CAbTNYbg==" spinCount="100000" sheet="1" objects="1" scenarios="1"/>
  <mergeCells count="55">
    <mergeCell ref="P25:T25"/>
    <mergeCell ref="Q26:R26"/>
    <mergeCell ref="S26:T26"/>
    <mergeCell ref="P48:T48"/>
    <mergeCell ref="Q49:R49"/>
    <mergeCell ref="S49:T49"/>
    <mergeCell ref="V19:AB19"/>
    <mergeCell ref="B21:E21"/>
    <mergeCell ref="U20:U23"/>
    <mergeCell ref="W20:Y20"/>
    <mergeCell ref="Z20:AB20"/>
    <mergeCell ref="B22:E22"/>
    <mergeCell ref="B23:E23"/>
    <mergeCell ref="Z23:AB23"/>
    <mergeCell ref="B20:E20"/>
    <mergeCell ref="B15:C15"/>
    <mergeCell ref="K15:K17"/>
    <mergeCell ref="B16:C16"/>
    <mergeCell ref="B18:E18"/>
    <mergeCell ref="B19:E19"/>
    <mergeCell ref="B17:C17"/>
    <mergeCell ref="B9:B10"/>
    <mergeCell ref="B11:C11"/>
    <mergeCell ref="K11:K13"/>
    <mergeCell ref="B12:C12"/>
    <mergeCell ref="B13:C13"/>
    <mergeCell ref="B14:C14"/>
    <mergeCell ref="Z4:AB4"/>
    <mergeCell ref="B6:B8"/>
    <mergeCell ref="K6:K8"/>
    <mergeCell ref="H7:H8"/>
    <mergeCell ref="I7:I8"/>
    <mergeCell ref="J7:J8"/>
    <mergeCell ref="L1:L4"/>
    <mergeCell ref="M1:O1"/>
    <mergeCell ref="P1:S1"/>
    <mergeCell ref="W1:Y1"/>
    <mergeCell ref="Z1:AB1"/>
    <mergeCell ref="B2:D2"/>
    <mergeCell ref="N2:O2"/>
    <mergeCell ref="Q2:R2"/>
    <mergeCell ref="B3:B5"/>
    <mergeCell ref="M3:N3"/>
    <mergeCell ref="P3:Q3"/>
    <mergeCell ref="X3:Y3"/>
    <mergeCell ref="M4:O4"/>
    <mergeCell ref="P4:R4"/>
    <mergeCell ref="X4:Y4"/>
    <mergeCell ref="S2:S4"/>
    <mergeCell ref="K1:K3"/>
    <mergeCell ref="B1:D1"/>
    <mergeCell ref="G1:G3"/>
    <mergeCell ref="H1:H3"/>
    <mergeCell ref="I1:I3"/>
    <mergeCell ref="J1:J3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52839-350D-49F0-A0B0-518FBAD7A59E}">
  <sheetPr codeName="Sheet3"/>
  <dimension ref="B1:AF112"/>
  <sheetViews>
    <sheetView showGridLines="0" topLeftCell="A7" zoomScale="85" zoomScaleNormal="85" zoomScaleSheetLayoutView="100" workbookViewId="0">
      <selection activeCell="D11" sqref="D11"/>
    </sheetView>
  </sheetViews>
  <sheetFormatPr defaultColWidth="8.875" defaultRowHeight="16.5" x14ac:dyDescent="0.3"/>
  <cols>
    <col min="1" max="1" width="3.625" customWidth="1"/>
    <col min="2" max="5" width="12.625" style="1" customWidth="1"/>
    <col min="6" max="6" width="8.875" style="1"/>
    <col min="7" max="7" width="14.375" bestFit="1" customWidth="1"/>
    <col min="8" max="8" width="15.625" customWidth="1"/>
    <col min="9" max="12" width="10.625" customWidth="1"/>
    <col min="13" max="15" width="12.625" customWidth="1"/>
    <col min="16" max="23" width="15.625" customWidth="1"/>
    <col min="24" max="24" width="10.625" customWidth="1"/>
    <col min="25" max="32" width="10.625" style="2" customWidth="1"/>
  </cols>
  <sheetData>
    <row r="1" spans="2:32" ht="33" customHeight="1" x14ac:dyDescent="0.3">
      <c r="B1" s="239" t="s">
        <v>43</v>
      </c>
      <c r="C1" s="239"/>
      <c r="D1" s="239"/>
      <c r="E1" s="99"/>
      <c r="G1" s="243" t="s">
        <v>15</v>
      </c>
      <c r="H1" s="214" t="s">
        <v>33</v>
      </c>
      <c r="I1" s="216" t="s">
        <v>34</v>
      </c>
      <c r="J1" s="218" t="s">
        <v>35</v>
      </c>
      <c r="K1" s="271" t="s">
        <v>0</v>
      </c>
      <c r="L1" s="302" t="s">
        <v>14</v>
      </c>
      <c r="M1" s="305" t="s">
        <v>1</v>
      </c>
      <c r="N1" s="306"/>
      <c r="O1" s="307"/>
      <c r="P1" s="308" t="s">
        <v>29</v>
      </c>
      <c r="Q1" s="309"/>
      <c r="R1" s="309"/>
      <c r="S1" s="310"/>
      <c r="T1" s="115"/>
      <c r="U1" s="27"/>
      <c r="V1" s="105"/>
      <c r="W1" s="311" t="s">
        <v>45</v>
      </c>
      <c r="X1" s="312"/>
      <c r="Y1" s="313"/>
      <c r="Z1" s="311" t="s">
        <v>46</v>
      </c>
      <c r="AA1" s="312"/>
      <c r="AB1" s="314"/>
      <c r="AD1"/>
      <c r="AE1"/>
      <c r="AF1"/>
    </row>
    <row r="2" spans="2:32" ht="33" customHeight="1" thickBot="1" x14ac:dyDescent="0.35">
      <c r="B2" s="344" t="s">
        <v>116</v>
      </c>
      <c r="C2" s="315"/>
      <c r="D2" s="315"/>
      <c r="E2" s="100"/>
      <c r="G2" s="244"/>
      <c r="H2" s="215"/>
      <c r="I2" s="217"/>
      <c r="J2" s="219"/>
      <c r="K2" s="272"/>
      <c r="L2" s="303"/>
      <c r="M2" s="122" t="s">
        <v>28</v>
      </c>
      <c r="N2" s="280"/>
      <c r="O2" s="316"/>
      <c r="P2" s="12" t="s">
        <v>28</v>
      </c>
      <c r="Q2" s="280"/>
      <c r="R2" s="316"/>
      <c r="S2" s="290" t="s">
        <v>36</v>
      </c>
      <c r="T2" s="35"/>
      <c r="U2" s="1"/>
      <c r="V2" s="19" t="s">
        <v>47</v>
      </c>
      <c r="W2" s="56">
        <v>4</v>
      </c>
      <c r="X2" s="56">
        <v>5</v>
      </c>
      <c r="Y2" s="56">
        <v>6</v>
      </c>
      <c r="Z2" s="56">
        <v>4</v>
      </c>
      <c r="AA2" s="56">
        <v>5</v>
      </c>
      <c r="AB2" s="57">
        <v>6</v>
      </c>
      <c r="AD2"/>
      <c r="AE2"/>
      <c r="AF2"/>
    </row>
    <row r="3" spans="2:32" ht="33" customHeight="1" x14ac:dyDescent="0.3">
      <c r="B3" s="345" t="s">
        <v>2</v>
      </c>
      <c r="C3" s="185" t="s">
        <v>3</v>
      </c>
      <c r="D3" s="162">
        <f>계산기!D3+계산기!P3</f>
        <v>7953</v>
      </c>
      <c r="G3" s="274"/>
      <c r="H3" s="275"/>
      <c r="I3" s="276"/>
      <c r="J3" s="277"/>
      <c r="K3" s="273"/>
      <c r="L3" s="303"/>
      <c r="M3" s="278" t="s">
        <v>4</v>
      </c>
      <c r="N3" s="279"/>
      <c r="O3" s="16"/>
      <c r="P3" s="279" t="s">
        <v>4</v>
      </c>
      <c r="Q3" s="279"/>
      <c r="R3" s="16"/>
      <c r="S3" s="291"/>
      <c r="T3" s="35"/>
      <c r="U3" s="1"/>
      <c r="V3" s="19" t="s">
        <v>48</v>
      </c>
      <c r="W3" s="15" t="s">
        <v>50</v>
      </c>
      <c r="X3" s="280" t="s">
        <v>49</v>
      </c>
      <c r="Y3" s="281"/>
      <c r="Z3" s="17" t="s">
        <v>51</v>
      </c>
      <c r="AA3" s="17" t="s">
        <v>52</v>
      </c>
      <c r="AB3" s="58" t="s">
        <v>53</v>
      </c>
      <c r="AD3"/>
      <c r="AE3"/>
      <c r="AF3"/>
    </row>
    <row r="4" spans="2:32" ht="33" customHeight="1" thickBot="1" x14ac:dyDescent="0.35">
      <c r="B4" s="342"/>
      <c r="C4" s="183" t="s">
        <v>5</v>
      </c>
      <c r="D4" s="121">
        <f>계산기!D4+계산기!P4</f>
        <v>770</v>
      </c>
      <c r="G4" s="65" t="s">
        <v>94</v>
      </c>
      <c r="H4" s="103"/>
      <c r="I4" s="103"/>
      <c r="J4" s="104"/>
      <c r="K4" s="80">
        <f>계산기!F4+계산기!R4</f>
        <v>30</v>
      </c>
      <c r="L4" s="304"/>
      <c r="M4" s="282" t="s">
        <v>114</v>
      </c>
      <c r="N4" s="283"/>
      <c r="O4" s="284"/>
      <c r="P4" s="285" t="s">
        <v>114</v>
      </c>
      <c r="Q4" s="286"/>
      <c r="R4" s="287"/>
      <c r="S4" s="292"/>
      <c r="T4" s="35"/>
      <c r="U4" s="1"/>
      <c r="V4" s="20" t="s">
        <v>56</v>
      </c>
      <c r="W4" s="45" t="s">
        <v>54</v>
      </c>
      <c r="X4" s="288" t="s">
        <v>55</v>
      </c>
      <c r="Y4" s="289"/>
      <c r="Z4" s="295" t="str">
        <f>"8 / 12"</f>
        <v>8 / 12</v>
      </c>
      <c r="AA4" s="296"/>
      <c r="AB4" s="297"/>
      <c r="AD4"/>
      <c r="AE4"/>
      <c r="AF4"/>
    </row>
    <row r="5" spans="2:32" ht="33" customHeight="1" thickBot="1" x14ac:dyDescent="0.35">
      <c r="B5" s="346"/>
      <c r="C5" s="184" t="s">
        <v>6</v>
      </c>
      <c r="D5" s="131">
        <f>계산기!D5+계산기!P5</f>
        <v>30410</v>
      </c>
      <c r="G5" s="66" t="s">
        <v>23</v>
      </c>
      <c r="H5" s="101">
        <f>S5*기준표!T5+(S5*($D$13-기준표!$D$13))</f>
        <v>336539688744127.5</v>
      </c>
      <c r="I5" s="102">
        <v>403</v>
      </c>
      <c r="J5" s="18">
        <f>H5/$H$23</f>
        <v>0.23459660119308307</v>
      </c>
      <c r="K5" s="81">
        <f>계산기!F8+계산기!R8</f>
        <v>30</v>
      </c>
      <c r="L5" s="77">
        <f>2.2*(350+6*$K$5)*11</f>
        <v>12826</v>
      </c>
      <c r="M5" s="37">
        <v>0</v>
      </c>
      <c r="N5" s="38">
        <f>ROUNDDOWN(I5/89*(65+3-24+ROUNDUP($K$4/2,0)),0)</f>
        <v>267</v>
      </c>
      <c r="O5" s="39">
        <f>I5-M5-N5</f>
        <v>136</v>
      </c>
      <c r="P5" s="120">
        <f t="shared" ref="P5:P22" si="0">(ROUNDDOWN(($D$3+4)*($D$4+100)/100+$D$5,0)*4+ROUNDDOWN(($D$6+4)*($D$7+100)/100+$D$8,0))*0.01*ROUNDDOWN(($D$9+104)*($D$10+100)/100,0)*($D$11+135)/100*0.955*1.24*(1.25*1.2*1.25*1.23*1.1)*(1.1*(134+ROUNDDOWN($K$4/5,0))/100*1.06)*1.2*$L5/100*M5*0.01</f>
        <v>0</v>
      </c>
      <c r="Q5" s="116">
        <f>(ROUNDDOWN(($D$3+4)*($D$4+100)/100+$D$5,0)*4+ROUNDDOWN(($D$6+4)*($D$7+100)/100+$D$8,0))*0.01*ROUNDDOWN(($D$9+104)*($D$10+100)/100,0)*($D$11+135)/100*0.955*1.24*(1.25*1.2*1.25*1.23*1.1)*((134+ROUNDDOWN($K$4/5,0))/100*1.06)*1.2*$L5/100*N5*0.01*(1-(3.8*0.8*0.8*0.91*(100-$D$12)/100))</f>
        <v>255124914398.0975</v>
      </c>
      <c r="R5" s="117">
        <f>(ROUNDDOWN(($D$3+4)*($D$4+100)/100+$D$5,0)*4+ROUNDDOWN(($D$6+4)*($D$7+100)/100+$D$8,0))*0.01*ROUNDDOWN(($D$9+104)*($D$10+100)/100,0)*($D$11+135)/100*0.955*1.24*(1.25*1.2*1.25*1.23*1.1)*(1.06)*1.2*$L5/100*O5*0.01*(1-(3.8*0.8*0.8*0.91*(100-$D$12)/100))</f>
        <v>92822333756.397156</v>
      </c>
      <c r="S5" s="67">
        <f t="shared" ref="S5:S22" si="1">SUM(P5:R5)</f>
        <v>347947248154.49463</v>
      </c>
      <c r="T5" s="112"/>
      <c r="U5" s="3"/>
      <c r="V5" s="2"/>
      <c r="W5" s="2"/>
      <c r="X5" s="2"/>
      <c r="AD5"/>
      <c r="AE5"/>
      <c r="AF5"/>
    </row>
    <row r="6" spans="2:32" ht="33" customHeight="1" thickTop="1" x14ac:dyDescent="0.3">
      <c r="B6" s="341" t="s">
        <v>7</v>
      </c>
      <c r="C6" s="186" t="s">
        <v>3</v>
      </c>
      <c r="D6" s="187">
        <f>계산기!D6+계산기!P6</f>
        <v>4026</v>
      </c>
      <c r="G6" s="68" t="s">
        <v>30</v>
      </c>
      <c r="H6" s="101">
        <f>S6*기준표!T6+(S6*($D$13-기준표!$D$13))</f>
        <v>48961144330996.352</v>
      </c>
      <c r="I6" s="15">
        <v>164</v>
      </c>
      <c r="J6" s="18">
        <f>H6/$H$23</f>
        <v>3.4130054893194699E-2</v>
      </c>
      <c r="K6" s="298">
        <f>계산기!F10+계산기!R10</f>
        <v>30</v>
      </c>
      <c r="L6" s="78">
        <f>2.2*(243+8*$K$6)*4</f>
        <v>4250.4000000000005</v>
      </c>
      <c r="M6" s="40">
        <f>ROUNDDOWN(I6/113*24,0)</f>
        <v>34</v>
      </c>
      <c r="N6" s="36">
        <f>ROUNDDOWN(I6/113*(65+3-24+ROUNDUP($K$4/2,0)),0)</f>
        <v>85</v>
      </c>
      <c r="O6" s="41">
        <f>I6-M6-N6</f>
        <v>45</v>
      </c>
      <c r="P6" s="33">
        <f t="shared" si="0"/>
        <v>12496746137.88479</v>
      </c>
      <c r="Q6" s="34">
        <f>(ROUNDDOWN(($D$3+4)*($D$4+100)/100+$D$5,0)*4+ROUNDDOWN(($D$6+4)*($D$7+100)/100+$D$8,0))*0.01*ROUNDDOWN(($D$9+104)*($D$10+100)/100,0)*($D$11+135)/100*0.955*1.24*(1.25*1.2*1.25*1.23*1.1)*((134+ROUNDDOWN($K$4/5,0))/100*1.06)*1.2*$L6/100*N6*0.01*(1-(3.8*0.8*0.91*(100-$D$12)/100))</f>
        <v>26543691670.196125</v>
      </c>
      <c r="R6" s="118">
        <f>(ROUNDDOWN(($D$3+4)*($D$4+100)/100+$D$5,0)*4+ROUNDDOWN(($D$6+4)*($D$7+100)/100+$D$8,0))*0.01*ROUNDDOWN(($D$9+104)*($D$10+100)/100,0)*($D$11+135)/100*0.955*1.24*(1.25*1.2*1.25*1.23*1.1)*(1.06)*1.2*$L6/100*O6*0.01*(1-(3.8*0.8*0.91*(100-$D$12)/100))</f>
        <v>10037530463.519543</v>
      </c>
      <c r="S6" s="67">
        <f t="shared" si="1"/>
        <v>49077968271.600464</v>
      </c>
      <c r="T6" s="112"/>
      <c r="U6" s="1"/>
      <c r="V6" s="2" t="s">
        <v>37</v>
      </c>
      <c r="W6" s="2"/>
      <c r="X6" s="2"/>
      <c r="AD6"/>
      <c r="AE6"/>
      <c r="AF6"/>
    </row>
    <row r="7" spans="2:32" ht="33" customHeight="1" x14ac:dyDescent="0.3">
      <c r="B7" s="342"/>
      <c r="C7" s="183" t="s">
        <v>5</v>
      </c>
      <c r="D7" s="121">
        <f>계산기!D7+계산기!P7</f>
        <v>240</v>
      </c>
      <c r="G7" s="68" t="s">
        <v>31</v>
      </c>
      <c r="H7" s="299">
        <f>(S7+S8)*기준표!T7+((S7+S8)*($D$13-기준표!$D$13))</f>
        <v>96958150127118.703</v>
      </c>
      <c r="I7" s="300">
        <v>71</v>
      </c>
      <c r="J7" s="301">
        <f>H7/$H$23</f>
        <v>6.7588023756344109E-2</v>
      </c>
      <c r="K7" s="298"/>
      <c r="L7" s="78">
        <f>2.2*(890+27*$K$6)*10</f>
        <v>37400.000000000007</v>
      </c>
      <c r="M7" s="40">
        <v>6</v>
      </c>
      <c r="N7" s="36">
        <f>ROUNDDOWN(($I$7-5*ROUNDDOWN(I7/8+1,0))/113*(65+3-24+ROUNDUP($K$4/2,0)),0)</f>
        <v>13</v>
      </c>
      <c r="O7" s="41">
        <f>I7-5*ROUNDDOWN(I7/8+1,0)-M7-N7</f>
        <v>7</v>
      </c>
      <c r="P7" s="33">
        <f t="shared" si="0"/>
        <v>19404885307.274521</v>
      </c>
      <c r="Q7" s="34">
        <f>(ROUNDDOWN(($D$3+4)*($D$4+100)/100+$D$5,0)*4+ROUNDDOWN(($D$6+4)*($D$7+100)/100+$D$8,0))*0.01*ROUNDDOWN(($D$9+104)*($D$10+100)/100,0)*($D$11+135)/100*0.955*1.24*(1.25*1.2*1.25*1.23*1.1)*((134+ROUNDDOWN($K$4/5,0))/100*1.06)*1.2*$L7/100*N7*0.01*(1-(3.8*0.8*0.91*(100-$D$12)/100))</f>
        <v>35721324193.845718</v>
      </c>
      <c r="R7" s="118">
        <f>(ROUNDDOWN(($D$3+4)*($D$4+100)/100+$D$5,0)*4+ROUNDDOWN(($D$6+4)*($D$7+100)/100+$D$8,0))*0.01*ROUNDDOWN(($D$9+104)*($D$10+100)/100,0)*($D$11+135)/100*0.955*1.24*(1.25*1.2*1.25*1.23*1.1)*(1.06)*1.2*$L7/100*O7*0.01*(1-(3.8*0.8*0.91*(100-$D$12)/100))</f>
        <v>13738970843.786814</v>
      </c>
      <c r="S7" s="67">
        <f t="shared" si="1"/>
        <v>68865180344.907059</v>
      </c>
      <c r="T7" s="112"/>
      <c r="U7" s="1"/>
      <c r="V7" s="2" t="s">
        <v>38</v>
      </c>
      <c r="W7" s="2"/>
      <c r="X7" s="2"/>
      <c r="AD7"/>
      <c r="AE7"/>
      <c r="AF7"/>
    </row>
    <row r="8" spans="2:32" ht="33" customHeight="1" thickBot="1" x14ac:dyDescent="0.35">
      <c r="B8" s="343"/>
      <c r="C8" s="188" t="s">
        <v>6</v>
      </c>
      <c r="D8" s="189">
        <f>계산기!D8+계산기!P8</f>
        <v>280</v>
      </c>
      <c r="G8" s="68" t="s">
        <v>32</v>
      </c>
      <c r="H8" s="299">
        <f>S8*기준표!T8+(S8*($D$13-기준표!$D$13))</f>
        <v>0</v>
      </c>
      <c r="I8" s="300"/>
      <c r="J8" s="301"/>
      <c r="K8" s="298"/>
      <c r="L8" s="78">
        <f>2.2*(245+9*$K$6)*8*5</f>
        <v>45320</v>
      </c>
      <c r="M8" s="40">
        <v>3</v>
      </c>
      <c r="N8" s="36">
        <v>3</v>
      </c>
      <c r="O8" s="41">
        <f>ROUNDDOWN(I7/8+1,0)-M8-N8</f>
        <v>3</v>
      </c>
      <c r="P8" s="33">
        <f t="shared" si="0"/>
        <v>11757077568.525148</v>
      </c>
      <c r="Q8" s="34">
        <f>(ROUNDDOWN(($D$3+4)*($D$4+100)/100+$D$5,0)*4+ROUNDDOWN(($D$6+4)*($D$7+100)/100+$D$8,0))*0.01*ROUNDDOWN(($D$9+104)*($D$10+100)/100,0)*($D$11+135)/100*0.955*1.24*(1.25*1.2*1.25*1.23*1.1)*((134+ROUNDDOWN($K$4/5,0))/100*1.06)*1.2*$L8/100*N8*0.01*(1-(3.8*0.8*0.91*(100-$D$12)/100))</f>
        <v>9989039978.18853</v>
      </c>
      <c r="R8" s="118">
        <f>(ROUNDDOWN(($D$3+4)*($D$4+100)/100+$D$5,0)*4+ROUNDDOWN(($D$6+4)*($D$7+100)/100+$D$8,0))*0.01*ROUNDDOWN(($D$9+104)*($D$10+100)/100,0)*($D$11+135)/100*0.955*1.24*(1.25*1.2*1.25*1.23*1.1)*(1.06)*1.2*$L8/100*O8*0.01*(1-(3.8*0.8*0.91*(100-$D$12)/100))</f>
        <v>7135028555.8489494</v>
      </c>
      <c r="S8" s="67">
        <f t="shared" si="1"/>
        <v>28881146102.562626</v>
      </c>
      <c r="T8" s="112"/>
      <c r="U8" s="1"/>
      <c r="V8" s="2" t="s">
        <v>39</v>
      </c>
      <c r="W8" s="2"/>
      <c r="X8" s="2"/>
      <c r="AD8"/>
      <c r="AE8"/>
      <c r="AF8"/>
    </row>
    <row r="9" spans="2:32" ht="33" customHeight="1" thickTop="1" x14ac:dyDescent="0.3">
      <c r="B9" s="341" t="s">
        <v>8</v>
      </c>
      <c r="C9" s="186" t="s">
        <v>3</v>
      </c>
      <c r="D9" s="187">
        <f>계산기!D9+계산기!P9</f>
        <v>4496</v>
      </c>
      <c r="G9" s="68" t="s">
        <v>9</v>
      </c>
      <c r="H9" s="101">
        <f>S9*기준표!T9+(S9*($D$13-기준표!$D$13))</f>
        <v>115496914851885.7</v>
      </c>
      <c r="I9" s="15">
        <v>32</v>
      </c>
      <c r="J9" s="18">
        <f>H9/$H$23</f>
        <v>8.0511109324582164E-2</v>
      </c>
      <c r="K9" s="82">
        <f>계산기!F6+계산기!R6</f>
        <v>30</v>
      </c>
      <c r="L9" s="78">
        <f>((10+K9+5*ROUNDDOWN(LOG(K9),0)+5*ROUNDDOWN(LOG(K9,20),0)+10*ROUNDDOWN(LOG(K9,30),0)+100)/100)*2000*15</f>
        <v>48000</v>
      </c>
      <c r="M9" s="40">
        <v>8</v>
      </c>
      <c r="N9" s="36">
        <f>ROUNDDOWN($I$9/113*(65+3-24+ROUNDUP($K$4/2,0)),0)</f>
        <v>16</v>
      </c>
      <c r="O9" s="41">
        <f>I9-M9-N9</f>
        <v>8</v>
      </c>
      <c r="P9" s="33">
        <f t="shared" si="0"/>
        <v>33206220846.67297</v>
      </c>
      <c r="Q9" s="34">
        <f>(ROUNDDOWN(($D$3+4)*($D$4+100)/100+$D$5,0)*4+ROUNDDOWN(($D$6+4)*($D$7+100)/100+$D$8,0))*0.01*ROUNDDOWN(($D$9+104)*($D$10+100)/100,0)*($D$11+135)/100*0.955*1.24*(1.25*1.2*1.25*1.23*1.1)*((134+ROUNDDOWN($K$4/5,0))/100*1.06)*1.2*$L9/100*N9*0.01*(1-(3.8*0.91*(100-$D$12)/100))</f>
        <v>55437878278.43924</v>
      </c>
      <c r="R9" s="118">
        <f>(ROUNDDOWN(($D$3+4)*($D$4+100)/100+$D$5,0)*4+ROUNDDOWN(($D$6+4)*($D$7+100)/100+$D$8,0))*0.01*ROUNDDOWN(($D$9+104)*($D$10+100)/100,0)*($D$11+135)/100*0.955*1.24*(1.25*1.2*1.25*1.23*1.1)*(1.06)*1.2*$L9/100*O9*0.01*(1-(3.8*0.91*(100-$D$12)/100))</f>
        <v>19799242242.299725</v>
      </c>
      <c r="S9" s="67">
        <f t="shared" si="1"/>
        <v>108443341367.41194</v>
      </c>
      <c r="T9" s="112"/>
      <c r="U9" s="1"/>
      <c r="V9" s="2" t="s">
        <v>40</v>
      </c>
      <c r="W9" s="2"/>
      <c r="X9" s="2"/>
      <c r="AD9"/>
      <c r="AE9"/>
      <c r="AF9"/>
    </row>
    <row r="10" spans="2:32" ht="33" customHeight="1" thickBot="1" x14ac:dyDescent="0.35">
      <c r="B10" s="343"/>
      <c r="C10" s="188" t="s">
        <v>5</v>
      </c>
      <c r="D10" s="189">
        <f>계산기!D10+계산기!P10</f>
        <v>150</v>
      </c>
      <c r="G10" s="69" t="s">
        <v>19</v>
      </c>
      <c r="H10" s="101">
        <f>S10*기준표!T10+(S10*($D$13-기준표!$D$13))</f>
        <v>55216588355432.414</v>
      </c>
      <c r="I10" s="17">
        <v>6</v>
      </c>
      <c r="J10" s="18">
        <f t="shared" ref="J10:J23" si="2">H10/$H$23</f>
        <v>3.8490627973185969E-2</v>
      </c>
      <c r="K10" s="82">
        <f>계산기!F5+계산기!R5</f>
        <v>30</v>
      </c>
      <c r="L10" s="78">
        <f>(680+24*$K$10)*10*8</f>
        <v>112000</v>
      </c>
      <c r="M10" s="40">
        <v>3</v>
      </c>
      <c r="N10" s="36">
        <v>3</v>
      </c>
      <c r="O10" s="41">
        <v>0</v>
      </c>
      <c r="P10" s="33">
        <f t="shared" si="0"/>
        <v>29055443240.838848</v>
      </c>
      <c r="Q10" s="34">
        <f>(ROUNDDOWN(($D$3+4)*($D$4+100)/100+$D$5,0)*4+ROUNDDOWN(($D$6+4)*($D$7+100)/100+$D$8,0))*0.01*ROUNDDOWN(($D$9+104)*($D$10+100)/100,0)*($D$11+135)/100*0.955*1.24*(1.25*1.2*1.25*1.23*1.1)*((134+ROUNDDOWN($K$4/5,0))/100*1.06)*1.2*$L10/100*N10*0.01*(1-(3.8*0.91*(100-$D$12)/100))</f>
        <v>24254071746.817165</v>
      </c>
      <c r="R10" s="118">
        <f>(ROUNDDOWN(($D$3+4)*($D$4+100)/100+$D$5,0)*4+ROUNDDOWN(($D$6+4)*($D$7+100)/100+$D$8,0))*0.01*ROUNDDOWN(($D$9+104)*($D$10+100)/100,0)*($D$11+135)/100*0.955*1.24*(1.25*1.2*1.25*1.23*1.1)*(1.06)*1.2*$L10/100*O10*0.01*(1-(3.8*0.91*(100-$D$12)/100))</f>
        <v>0</v>
      </c>
      <c r="S10" s="67">
        <f t="shared" si="1"/>
        <v>53309514987.656013</v>
      </c>
      <c r="T10" s="112"/>
      <c r="U10" s="1"/>
      <c r="V10" s="2" t="s">
        <v>41</v>
      </c>
      <c r="W10" s="2"/>
      <c r="X10" s="2"/>
      <c r="AD10"/>
      <c r="AE10"/>
      <c r="AF10"/>
    </row>
    <row r="11" spans="2:32" ht="33" customHeight="1" thickTop="1" x14ac:dyDescent="0.3">
      <c r="B11" s="347" t="s">
        <v>10</v>
      </c>
      <c r="C11" s="348"/>
      <c r="D11" s="187">
        <f>계산기!D11+계산기!P11</f>
        <v>174.75</v>
      </c>
      <c r="G11" s="68" t="s">
        <v>13</v>
      </c>
      <c r="H11" s="101">
        <f>S11*기준표!T11+(S11*($D$13-기준표!$D$13))</f>
        <v>61953398039824.195</v>
      </c>
      <c r="I11" s="15">
        <v>55</v>
      </c>
      <c r="J11" s="18">
        <f t="shared" si="2"/>
        <v>4.3186753594329476E-2</v>
      </c>
      <c r="K11" s="298">
        <f>계산기!F12+계산기!R12</f>
        <v>30</v>
      </c>
      <c r="L11" s="78">
        <f>2.2*(645+24*$K$11)*5</f>
        <v>15015.000000000002</v>
      </c>
      <c r="M11" s="40">
        <f>$M$12</f>
        <v>22</v>
      </c>
      <c r="N11" s="36">
        <f>ROUNDDOWN(($I$11-$M$11)/113*(65+3-24+ROUNDUP($K$4/2,0)),0)</f>
        <v>17</v>
      </c>
      <c r="O11" s="41">
        <f>I11-M11-N11</f>
        <v>16</v>
      </c>
      <c r="P11" s="33">
        <f t="shared" si="0"/>
        <v>28565132636.149693</v>
      </c>
      <c r="Q11" s="34">
        <f>(ROUNDDOWN(($D$3+4)*($D$4+100)/100+$D$5,0)*4+ROUNDDOWN(($D$6+4)*($D$7+100)/100+$D$8,0))*0.01*ROUNDDOWN(($D$9+104)*($D$10+100)/100,0)*($D$11+135)/100*0.955*1.24*(1.25*1.2*1.25*1.23*1.1)*((134+ROUNDDOWN($K$4/5,0))/100*1.06)*1.2*$L11/100*N11*0.01*(1-(3.8*0.8*0.91*0.91*(100-$D$12)/100))</f>
        <v>18871840027.54818</v>
      </c>
      <c r="R11" s="118">
        <f>(ROUNDDOWN(($D$3+4)*($D$4+100)/100+$D$5,0)*4+ROUNDDOWN(($D$6+4)*($D$7+100)/100+$D$8,0))*0.01*ROUNDDOWN(($D$9+104)*($D$10+100)/100,0)*($D$11+135)/100*0.955*1.24*(1.25*1.2*1.25*1.23*1.1)*(1.06)*1.2*$L11/100*O11*0.01*(1-(3.8*0.8*0.91*0.91*(100-$D$12)/100))</f>
        <v>12686951279.023987</v>
      </c>
      <c r="S11" s="67">
        <f t="shared" si="1"/>
        <v>60123923942.721863</v>
      </c>
      <c r="T11" s="112"/>
      <c r="U11" s="1"/>
      <c r="W11" s="2"/>
      <c r="X11" s="2"/>
      <c r="AE11"/>
      <c r="AF11"/>
    </row>
    <row r="12" spans="2:32" ht="33" customHeight="1" x14ac:dyDescent="0.3">
      <c r="B12" s="349" t="s">
        <v>11</v>
      </c>
      <c r="C12" s="350"/>
      <c r="D12" s="190">
        <f>100-(100-계산기!D12)*IF(계산기!P12&gt;0,(100-계산기!P12)/100,IF(계산기!P12&lt;0,100/(100+계산기!P12),1))</f>
        <v>97.635238095238094</v>
      </c>
      <c r="G12" s="68" t="s">
        <v>22</v>
      </c>
      <c r="H12" s="101">
        <f>S12*기준표!T12+(S12*($D$13-기준표!$D$13))</f>
        <v>43470060873024.883</v>
      </c>
      <c r="I12" s="15">
        <v>22</v>
      </c>
      <c r="J12" s="18">
        <f t="shared" si="2"/>
        <v>3.0302305717711617E-2</v>
      </c>
      <c r="K12" s="298"/>
      <c r="L12" s="78">
        <f>2.2*(745+28*$K$11)*6</f>
        <v>20922.000000000004</v>
      </c>
      <c r="M12" s="40">
        <f>I12</f>
        <v>22</v>
      </c>
      <c r="N12" s="36">
        <v>0</v>
      </c>
      <c r="O12" s="41">
        <v>0</v>
      </c>
      <c r="P12" s="33">
        <f t="shared" si="0"/>
        <v>39802844156.74485</v>
      </c>
      <c r="Q12" s="34">
        <f>(ROUNDDOWN(($D$3+4)*($D$4+100)/100+$D$5,0)*4+ROUNDDOWN(($D$6+4)*($D$7+100)/100+$D$8,0))*0.01*ROUNDDOWN(($D$9+104)*($D$10+100)/100,0)*($D$11+135)/100*0.955*1.24*(1.25*1.2*1.25*1.23*1.1)*((134+ROUNDDOWN($K$4/5,0))/100*1.06)*1.2*$L12/100*N12*0.01*(1-(3.8*0.84*0.8*0.91*(100-$D$12)/100))</f>
        <v>0</v>
      </c>
      <c r="R12" s="118">
        <f>(ROUNDDOWN(($D$3+4)*($D$4+100)/100+$D$5,0)*4+ROUNDDOWN(($D$6+4)*($D$7+100)/100+$D$8,0))*0.01*ROUNDDOWN(($D$9+104)*($D$10+100)/100,0)*($D$11+135)/100*0.955*1.24*(1.25*1.2*1.25*1.23*1.1)*(1.06)*1.2*$L12/100*O12*0.01*(1-(3.8*0.84*0.8*0.91*(100-$D$12)/100))</f>
        <v>0</v>
      </c>
      <c r="S12" s="67">
        <f t="shared" si="1"/>
        <v>39802844156.74485</v>
      </c>
      <c r="T12" s="112"/>
      <c r="U12" s="1"/>
      <c r="W12" s="2"/>
      <c r="X12" s="2"/>
      <c r="AE12"/>
      <c r="AF12"/>
    </row>
    <row r="13" spans="2:32" ht="33" customHeight="1" thickBot="1" x14ac:dyDescent="0.35">
      <c r="B13" s="351" t="s">
        <v>42</v>
      </c>
      <c r="C13" s="352"/>
      <c r="D13" s="189">
        <f>계산기!D13+계산기!P13</f>
        <v>715</v>
      </c>
      <c r="E13"/>
      <c r="F13"/>
      <c r="G13" s="68" t="s">
        <v>17</v>
      </c>
      <c r="H13" s="101">
        <f>S13*기준표!T13+(S13*($D$13-기준표!$D$13))+S13*$D$17*3</f>
        <v>75814819461129.625</v>
      </c>
      <c r="I13" s="15">
        <v>543</v>
      </c>
      <c r="J13" s="18">
        <f t="shared" si="2"/>
        <v>5.2849335637113845E-2</v>
      </c>
      <c r="K13" s="298"/>
      <c r="L13" s="78">
        <f>2.2*(102+4*$K$11)*4</f>
        <v>1953.6000000000001</v>
      </c>
      <c r="M13" s="40">
        <f>ROUNDDOWN(I13/113*24,0)</f>
        <v>115</v>
      </c>
      <c r="N13" s="36">
        <f>ROUNDDOWN(I13/113*(65+3-24+ROUNDUP($K$4/2,0)),0)</f>
        <v>283</v>
      </c>
      <c r="O13" s="41">
        <f>I13-M13-N13</f>
        <v>145</v>
      </c>
      <c r="P13" s="33">
        <f t="shared" si="0"/>
        <v>19427714584.106606</v>
      </c>
      <c r="Q13" s="34">
        <f>(ROUNDDOWN(($D$3+4)*($D$4+100)/100+$D$5,0)*4+ROUNDDOWN(($D$6+4)*($D$7+100)/100+$D$8,0))*0.01*ROUNDDOWN(($D$9+104)*($D$10+100)/100,0)*($D$11+135)/100*0.955*1.24*(1.25*1.2*1.25*1.23*1.1)*((134+ROUNDDOWN($K$4/5,0))/100*1.06)*1.2*$L13/100*N13*0.01*(1-(3.8*0.8*0.91*(100-$D$12)/100))</f>
        <v>40619509752.082367</v>
      </c>
      <c r="R13" s="118">
        <f>(ROUNDDOWN(($D$3+4)*($D$4+100)/100+$D$5,0)*4+ROUNDDOWN(($D$6+4)*($D$7+100)/100+$D$8,0))*0.01*ROUNDDOWN(($D$9+104)*($D$10+100)/100,0)*($D$11+135)/100*0.955*1.24*(1.25*1.2*1.25*1.23*1.1)*(1.06)*1.2*$L13/100*O13*0.01*(1-(3.8*0.8*0.91*(100-$D$12)/100))</f>
        <v>14865797360.050337</v>
      </c>
      <c r="S13" s="67">
        <f t="shared" si="1"/>
        <v>74913021696.239304</v>
      </c>
      <c r="T13" s="112"/>
      <c r="U13" s="1"/>
      <c r="W13" s="2"/>
      <c r="X13" s="2"/>
      <c r="AE13"/>
      <c r="AF13"/>
    </row>
    <row r="14" spans="2:32" ht="33" customHeight="1" thickTop="1" x14ac:dyDescent="0.3">
      <c r="B14" s="339" t="s">
        <v>103</v>
      </c>
      <c r="C14" s="340"/>
      <c r="D14" s="187">
        <f>계산기!P14</f>
        <v>0</v>
      </c>
      <c r="G14" s="68" t="s">
        <v>16</v>
      </c>
      <c r="H14" s="101">
        <f>(S14*기준표!T14+(S14*($D$13-기준표!$D$13)))*(100+D15)/(100+기준표!D15)</f>
        <v>166192089817276.06</v>
      </c>
      <c r="I14" s="15">
        <v>71</v>
      </c>
      <c r="J14" s="18">
        <f t="shared" si="2"/>
        <v>0.11584993009829329</v>
      </c>
      <c r="K14" s="82">
        <f>계산기!F9+계산기!R9</f>
        <v>30</v>
      </c>
      <c r="L14" s="78">
        <f>2.2*(935+27*$K$14)*9</f>
        <v>34551.000000000007</v>
      </c>
      <c r="M14" s="40">
        <f>ROUNDDOWN(I14/113*24,0)</f>
        <v>15</v>
      </c>
      <c r="N14" s="36">
        <f>ROUNDDOWN(I14/113*(65+3-24+ROUNDUP($K$4/2,0)),0)</f>
        <v>37</v>
      </c>
      <c r="O14" s="41">
        <f>I14-M14-N14</f>
        <v>19</v>
      </c>
      <c r="P14" s="33">
        <f t="shared" si="0"/>
        <v>44816724080.992111</v>
      </c>
      <c r="Q14" s="34">
        <f>(ROUNDDOWN(($D$3+4)*($D$4+100)/100+$D$5,0)*4+ROUNDDOWN(($D$6+4)*($D$7+100)/100+$D$8,0))*0.01*ROUNDDOWN(($D$9+104)*($D$10+100)/100,0)*($D$11+135)/100*0.955*1.24*(1.25*1.2*1.25*1.23*1.1)*((134+ROUNDDOWN($K$4/5,0))/100*1.06)*1.2*$L14/100*N14*0.01*(1-(3.8*0.84*0.8*0.8*0.91*(100-$D$12)/100))</f>
        <v>96080069420.443314</v>
      </c>
      <c r="R14" s="118">
        <f>(ROUNDDOWN(($D$3+4)*($D$4+100)/100+$D$5,0)*4+ROUNDDOWN(($D$6+4)*($D$7+100)/100+$D$8,0))*0.01*ROUNDDOWN(($D$9+104)*($D$10+100)/100,0)*($D$11+135)/100*0.955*1.24*(1.25*1.2*1.25*1.23*1.1)*(1.06)*1.2*$L14/100*O14*0.01*(1-(3.8*0.84*0.8*0.8*0.91*(100-$D$12)/100))</f>
        <v>35241724304.795807</v>
      </c>
      <c r="S14" s="67">
        <f t="shared" si="1"/>
        <v>176138517806.23123</v>
      </c>
      <c r="T14" s="112"/>
      <c r="U14" s="26"/>
      <c r="W14" s="2"/>
      <c r="X14" s="2"/>
      <c r="AE14"/>
      <c r="AF14"/>
    </row>
    <row r="15" spans="2:32" ht="33" customHeight="1" x14ac:dyDescent="0.3">
      <c r="B15" s="353" t="s">
        <v>105</v>
      </c>
      <c r="C15" s="354"/>
      <c r="D15" s="121">
        <f>계산기!D15+계산기!P15</f>
        <v>17.5</v>
      </c>
      <c r="G15" s="69" t="s">
        <v>18</v>
      </c>
      <c r="H15" s="101">
        <f>S15*기준표!T15+(S15*($D$13-기준표!$D$13))</f>
        <v>63347331319300.664</v>
      </c>
      <c r="I15" s="17">
        <v>62</v>
      </c>
      <c r="J15" s="18">
        <f t="shared" si="2"/>
        <v>4.4158442879701505E-2</v>
      </c>
      <c r="K15" s="298">
        <f>계산기!F7+계산기!R7</f>
        <v>30</v>
      </c>
      <c r="L15" s="78">
        <f>((10+$K$15+5*ROUNDDOWN(LOG($K$15),0)+5*ROUNDDOWN(LOG($K$15,20),0)+10*ROUNDDOWN(LOG($K$15,30),0)+100)/100)*1370*5</f>
        <v>10960</v>
      </c>
      <c r="M15" s="40">
        <f>I15</f>
        <v>62</v>
      </c>
      <c r="N15" s="36">
        <v>0</v>
      </c>
      <c r="O15" s="41">
        <v>0</v>
      </c>
      <c r="P15" s="33">
        <f t="shared" si="0"/>
        <v>58761174973.258369</v>
      </c>
      <c r="Q15" s="34">
        <f>(ROUNDDOWN(($D$3+4)*($D$4+100)/100+$D$5,0)*4+ROUNDDOWN(($D$6+4)*($D$7+100)/100+$D$8,0))*0.01*ROUNDDOWN(($D$9+104)*($D$10+100)/100,0)*($D$11+135)/100*0.955*1.24*(1.25*1.2*1.25*1.23*1.1)*((134+ROUNDDOWN($K$4/5,0))/100*1.06)*1.2*$L15/100*N15*0.01*(1-(3.8*0.91*(100-$D$12)/100))</f>
        <v>0</v>
      </c>
      <c r="R15" s="118">
        <f>(ROUNDDOWN(($D$3+4)*($D$4+100)/100+$D$5,0)*4+ROUNDDOWN(($D$6+4)*($D$7+100)/100+$D$8,0))*0.01*ROUNDDOWN(($D$9+104)*($D$10+100)/100,0)*($D$11+135)/100*0.955*1.24*(1.25*1.2*1.25*1.23*1.1)*(1.06)*1.2*$L15/100*O15*0.01*(1-(3.8*0.91*(100-$D$12)/100))</f>
        <v>0</v>
      </c>
      <c r="S15" s="67">
        <f t="shared" si="1"/>
        <v>58761174973.258369</v>
      </c>
      <c r="T15" s="112"/>
      <c r="U15" s="1"/>
      <c r="W15" s="2"/>
      <c r="X15" s="2"/>
      <c r="AE15"/>
      <c r="AF15"/>
    </row>
    <row r="16" spans="2:32" ht="33" customHeight="1" thickBot="1" x14ac:dyDescent="0.35">
      <c r="B16" s="355" t="s">
        <v>112</v>
      </c>
      <c r="C16" s="356"/>
      <c r="D16" s="189">
        <f>계산기!P16</f>
        <v>0</v>
      </c>
      <c r="G16" s="69" t="s">
        <v>21</v>
      </c>
      <c r="H16" s="101">
        <f>S16*기준표!T16+(S16*($D$13-기준표!$D$13))</f>
        <v>122296955441606.94</v>
      </c>
      <c r="I16" s="17">
        <v>75</v>
      </c>
      <c r="J16" s="18">
        <f t="shared" si="2"/>
        <v>8.5251312229852272E-2</v>
      </c>
      <c r="K16" s="298"/>
      <c r="L16" s="78">
        <f>((10+$K$15+5*ROUNDDOWN(LOG($K$15),0)+5*ROUNDDOWN(LOG($K$15,20),0)+10*ROUNDDOWN(LOG($K$15,30),0)+100)/100)*1210*9</f>
        <v>17424</v>
      </c>
      <c r="M16" s="40">
        <f>I16</f>
        <v>75</v>
      </c>
      <c r="N16" s="36">
        <v>0</v>
      </c>
      <c r="O16" s="41">
        <v>0</v>
      </c>
      <c r="P16" s="33">
        <f t="shared" si="0"/>
        <v>113004920318.83395</v>
      </c>
      <c r="Q16" s="34">
        <f>(ROUNDDOWN(($D$3+4)*($D$4+100)/100+$D$5,0)*4+ROUNDDOWN(($D$6+4)*($D$7+100)/100+$D$8,0))*0.01*ROUNDDOWN(($D$9+104)*($D$10+100)/100,0)*($D$11+135)/100*0.955*1.24*(1.25*1.2*1.25*1.23*1.1)*((134+ROUNDDOWN($K$4/5,0))/100*1.06)*1.2*$L16/100*N16*0.01*(1-(3.8*0.84*0.91*(100-$D$12)/100))</f>
        <v>0</v>
      </c>
      <c r="R16" s="118">
        <f>(ROUNDDOWN(($D$3+4)*($D$4+100)/100+$D$5,0)*4+ROUNDDOWN(($D$6+4)*($D$7+100)/100+$D$8,0))*0.01*ROUNDDOWN(($D$9+104)*($D$10+100)/100,0)*($D$11+135)/100*0.955*1.24*(1.25*1.2*1.25*1.23*1.1)*(1.06)*1.2*$L16/100*O16*0.01*(1-(3.8*0.84*0.91*(100-$D$12)/100))</f>
        <v>0</v>
      </c>
      <c r="S16" s="67">
        <f t="shared" si="1"/>
        <v>113004920318.83395</v>
      </c>
      <c r="T16" s="112"/>
      <c r="U16" s="1"/>
      <c r="V16" s="1"/>
      <c r="W16" s="2"/>
      <c r="X16" s="2"/>
      <c r="AE16"/>
      <c r="AF16"/>
    </row>
    <row r="17" spans="2:32" ht="33" customHeight="1" thickTop="1" thickBot="1" x14ac:dyDescent="0.35">
      <c r="B17" s="357" t="s">
        <v>139</v>
      </c>
      <c r="C17" s="358"/>
      <c r="D17" s="182">
        <f>계산기!D17+계산기!P17</f>
        <v>0</v>
      </c>
      <c r="G17" s="69" t="s">
        <v>27</v>
      </c>
      <c r="H17" s="101">
        <f>S17*기준표!T17+(S17*($D$13-기준표!$D$13))</f>
        <v>65968359156719.18</v>
      </c>
      <c r="I17" s="17">
        <v>3</v>
      </c>
      <c r="J17" s="18">
        <f t="shared" si="2"/>
        <v>4.598552076339902E-2</v>
      </c>
      <c r="K17" s="298"/>
      <c r="L17" s="78">
        <f>((10+$K$15+5*ROUNDDOWN(LOG($K$15),0)+5*ROUNDDOWN(LOG($K$15,20),0)+10*ROUNDDOWN(LOG($K$15,30),0)+100)/100)*1370*15*7</f>
        <v>230160</v>
      </c>
      <c r="M17" s="40">
        <f>I17</f>
        <v>3</v>
      </c>
      <c r="N17" s="36">
        <v>0</v>
      </c>
      <c r="O17" s="41">
        <v>0</v>
      </c>
      <c r="P17" s="33">
        <f t="shared" si="0"/>
        <v>59708935859.923828</v>
      </c>
      <c r="Q17" s="34">
        <f t="shared" ref="Q17:Q22" si="3">(ROUNDDOWN(($D$3+4)*($D$4+100)/100+$D$5,0)*4+ROUNDDOWN(($D$6+4)*($D$7+100)/100+$D$8,0))*0.01*ROUNDDOWN(($D$9+104)*($D$10+100)/100,0)*($D$11+135)/100*0.955*1.24*(1.25*1.2*1.25*1.23*1.1)*((134+ROUNDDOWN($K$4/5,0))/100*1.06)*1.2*$L17/100*N17*0.01*(1-(3.8*0.91*(100-$D$12)/100))</f>
        <v>0</v>
      </c>
      <c r="R17" s="118">
        <f>(ROUNDDOWN(($D$3+4)*($D$4+100)/100+$D$5,0)*4+ROUNDDOWN(($D$6+4)*($D$7+100)/100+$D$8,0))*0.01*ROUNDDOWN(($D$9+104)*($D$10+100)/100,0)*($D$11+135)/100*0.955*1.24*(1.25*1.2*1.25*1.23*1.1)*(1.06)*1.2*$L17/100*O17*0.01*(1-(3.8*0.91*(100-$D$12)/100))</f>
        <v>0</v>
      </c>
      <c r="S17" s="67">
        <f t="shared" si="1"/>
        <v>59708935859.923828</v>
      </c>
      <c r="T17" s="112"/>
      <c r="U17" s="1"/>
      <c r="V17" s="1"/>
      <c r="W17" s="2"/>
      <c r="X17" s="2"/>
      <c r="AE17"/>
      <c r="AF17"/>
    </row>
    <row r="18" spans="2:32" s="1" customFormat="1" ht="33" customHeight="1" thickBot="1" x14ac:dyDescent="0.35">
      <c r="B18" s="222" t="s">
        <v>44</v>
      </c>
      <c r="C18" s="222"/>
      <c r="D18" s="222"/>
      <c r="E18" s="222"/>
      <c r="G18" s="68" t="s">
        <v>26</v>
      </c>
      <c r="H18" s="101">
        <f>S18*기준표!T18+(S18*($D$13-기준표!$D$13))-IF(K18&lt;20,S18*50,IF(K18&lt;30,S18*30,0))</f>
        <v>81576028692571.875</v>
      </c>
      <c r="I18" s="15">
        <v>1</v>
      </c>
      <c r="J18" s="18">
        <f t="shared" si="2"/>
        <v>5.6865385302763125E-2</v>
      </c>
      <c r="K18" s="82">
        <f>계산기!F15+계산기!R15</f>
        <v>30</v>
      </c>
      <c r="L18" s="78">
        <f>(750+25*$K$18)*7*6+(690+22*$K$18)*6*30+(685+23*$K$18)*14*24</f>
        <v>768000</v>
      </c>
      <c r="M18" s="40">
        <f>I18</f>
        <v>1</v>
      </c>
      <c r="N18" s="36">
        <v>0</v>
      </c>
      <c r="O18" s="41">
        <v>0</v>
      </c>
      <c r="P18" s="33">
        <f t="shared" si="0"/>
        <v>66412441693.34594</v>
      </c>
      <c r="Q18" s="34">
        <f t="shared" si="3"/>
        <v>0</v>
      </c>
      <c r="R18" s="118">
        <f>(ROUNDDOWN(($D$3+4)*($D$4+100)/100+$D$5,0)*4+ROUNDDOWN(($D$6+4)*($D$7+100)/100+$D$8,0))*0.01*ROUNDDOWN(($D$9+104)*($D$10+100)/100,0)*($D$11+135)/100*0.955*1.24*(1.25*1.2*1.25*1.23*1.1)*(1.06)*1.2*$L18/100*O18*0.01*(1-(3.8*0.91*(100-$D$12)/100))</f>
        <v>0</v>
      </c>
      <c r="S18" s="67">
        <f t="shared" si="1"/>
        <v>66412441693.34594</v>
      </c>
      <c r="T18" s="112"/>
      <c r="U18" s="3"/>
      <c r="W18" s="2"/>
      <c r="X18" s="2"/>
      <c r="Y18" s="2"/>
      <c r="Z18" s="2"/>
      <c r="AA18" s="2"/>
      <c r="AB18" s="2"/>
      <c r="AC18" s="2"/>
      <c r="AD18" s="2"/>
    </row>
    <row r="19" spans="2:32" ht="33" customHeight="1" thickBot="1" x14ac:dyDescent="0.35">
      <c r="B19" s="255" t="s">
        <v>91</v>
      </c>
      <c r="C19" s="255"/>
      <c r="D19" s="255"/>
      <c r="E19" s="255"/>
      <c r="G19" s="69" t="s">
        <v>20</v>
      </c>
      <c r="H19" s="101">
        <f>S19*기준표!T19+(S19*($D$13-기준표!$D$13))</f>
        <v>57787226768820.961</v>
      </c>
      <c r="I19" s="17">
        <v>840</v>
      </c>
      <c r="J19" s="18">
        <f t="shared" si="2"/>
        <v>4.0282580170348199E-2</v>
      </c>
      <c r="K19" s="83"/>
      <c r="L19" s="78">
        <v>990</v>
      </c>
      <c r="M19" s="40">
        <f>ROUNDDOWN(I19/113*24,0)</f>
        <v>178</v>
      </c>
      <c r="N19" s="36">
        <f>ROUNDDOWN(I19/113*(65+3-24+ROUNDUP($K$4/2,0)),0)</f>
        <v>438</v>
      </c>
      <c r="O19" s="41">
        <f>I19-M19-N19</f>
        <v>224</v>
      </c>
      <c r="P19" s="33">
        <f t="shared" si="0"/>
        <v>15238542285.418518</v>
      </c>
      <c r="Q19" s="34">
        <f t="shared" si="3"/>
        <v>31300745806.115658</v>
      </c>
      <c r="R19" s="118">
        <f>(ROUNDDOWN(($D$3+4)*($D$4+100)/100+$D$5,0)*4+ROUNDDOWN(($D$6+4)*($D$7+100)/100+$D$8,0))*0.01*ROUNDDOWN(($D$9+104)*($D$10+100)/100,0)*($D$11+135)/100*0.955*1.24*(1.25*1.2*1.25*1.23*1.1)*(1.06)*1.2*$L19/100*O19*0.01*(1-(3.8*0.91*(100-$D$12)/100))</f>
        <v>11434062394.928091</v>
      </c>
      <c r="S19" s="67">
        <f t="shared" si="1"/>
        <v>57973350486.462273</v>
      </c>
      <c r="T19" s="112"/>
      <c r="U19" s="1"/>
      <c r="V19" s="323" t="s">
        <v>57</v>
      </c>
      <c r="W19" s="324"/>
      <c r="X19" s="324"/>
      <c r="Y19" s="324"/>
      <c r="Z19" s="324"/>
      <c r="AA19" s="324"/>
      <c r="AB19" s="325"/>
      <c r="AE19"/>
      <c r="AF19"/>
    </row>
    <row r="20" spans="2:32" s="1" customFormat="1" ht="33" customHeight="1" x14ac:dyDescent="0.3">
      <c r="B20" s="255" t="s">
        <v>90</v>
      </c>
      <c r="C20" s="255"/>
      <c r="D20" s="255"/>
      <c r="E20" s="255"/>
      <c r="G20" s="68" t="s">
        <v>12</v>
      </c>
      <c r="H20" s="101">
        <f>S20*기준표!T20+(S20*($D$13-기준표!$D$13))</f>
        <v>27226764358512.844</v>
      </c>
      <c r="I20" s="15">
        <v>60</v>
      </c>
      <c r="J20" s="18">
        <f t="shared" si="2"/>
        <v>1.8979355462732304E-2</v>
      </c>
      <c r="K20" s="83"/>
      <c r="L20" s="78">
        <f>1000*6</f>
        <v>6000</v>
      </c>
      <c r="M20" s="40">
        <f>ROUNDDOWN(I20/113*24,0)</f>
        <v>12</v>
      </c>
      <c r="N20" s="36">
        <f>ROUNDDOWN(I20/113*(65+3-24+ROUNDUP($K$4/2,0)),0)</f>
        <v>31</v>
      </c>
      <c r="O20" s="41">
        <f>I20-M20-N20</f>
        <v>17</v>
      </c>
      <c r="P20" s="33">
        <f t="shared" si="0"/>
        <v>6226166408.7511816</v>
      </c>
      <c r="Q20" s="34">
        <f t="shared" si="3"/>
        <v>13426361145.559504</v>
      </c>
      <c r="R20" s="118">
        <f>(ROUNDDOWN(($D$3+4)*($D$4+100)/100+$D$5,0)*4+ROUNDDOWN(($D$6+4)*($D$7+100)/100+$D$8,0))*0.01*ROUNDDOWN(($D$9+104)*($D$10+100)/100,0)*($D$11+135)/100*0.955*1.24*(1.25*1.2*1.25*1.23*1.1)*(1.06)*1.2*$L20/100*O20*0.01*(1-(3.8*0.91*(100-$D$12)/100))</f>
        <v>5259173720.6108646</v>
      </c>
      <c r="S20" s="67">
        <f t="shared" si="1"/>
        <v>24911701274.921547</v>
      </c>
      <c r="T20" s="114"/>
      <c r="U20" s="326" t="s">
        <v>80</v>
      </c>
      <c r="V20" s="106"/>
      <c r="W20" s="328" t="s">
        <v>58</v>
      </c>
      <c r="X20" s="329"/>
      <c r="Y20" s="330"/>
      <c r="Z20" s="331" t="s">
        <v>59</v>
      </c>
      <c r="AA20" s="329"/>
      <c r="AB20" s="330"/>
      <c r="AC20" s="2"/>
      <c r="AD20" s="2"/>
    </row>
    <row r="21" spans="2:32" s="1" customFormat="1" ht="33" customHeight="1" x14ac:dyDescent="0.3">
      <c r="B21" s="255" t="s">
        <v>63</v>
      </c>
      <c r="C21" s="255"/>
      <c r="D21" s="255"/>
      <c r="E21" s="255"/>
      <c r="G21" s="69" t="s">
        <v>25</v>
      </c>
      <c r="H21" s="101">
        <f>S21*기준표!T21+(S21*($D$13-기준표!$D$13))</f>
        <v>7982648128839.7012</v>
      </c>
      <c r="I21" s="17">
        <v>31</v>
      </c>
      <c r="J21" s="18">
        <f t="shared" si="2"/>
        <v>5.5645802922517744E-3</v>
      </c>
      <c r="K21" s="83"/>
      <c r="L21" s="78">
        <f>385*8</f>
        <v>3080</v>
      </c>
      <c r="M21" s="40">
        <v>10</v>
      </c>
      <c r="N21" s="36">
        <f>I21-M21-1</f>
        <v>20</v>
      </c>
      <c r="O21" s="41">
        <v>0</v>
      </c>
      <c r="P21" s="33">
        <f t="shared" si="0"/>
        <v>2663415630.4102278</v>
      </c>
      <c r="Q21" s="34">
        <f t="shared" si="3"/>
        <v>4446579820.249814</v>
      </c>
      <c r="R21" s="118">
        <f>(ROUNDDOWN(($D$3+4)*($D$4+100)/100+$D$5,0)*4+ROUNDDOWN(($D$6+4)*($D$7+100)/100+$D$8,0))*0.01*ROUNDDOWN(($D$9+104)*($D$10+100)/100,0)*($D$11+135)/100*0.955*1.24*(1.25*1.2*1.25*1.23*1.1)*(1.06)*1.2*($L21/100*O21+990/100*15)*0.01*(1-(3.8*0.91*(100-$D$12)/100))</f>
        <v>765673821.08893466</v>
      </c>
      <c r="S21" s="67">
        <f t="shared" si="1"/>
        <v>7875669271.7489767</v>
      </c>
      <c r="T21" s="112"/>
      <c r="U21" s="327"/>
      <c r="V21" s="49" t="s">
        <v>77</v>
      </c>
      <c r="W21" s="52">
        <v>4</v>
      </c>
      <c r="X21" s="52">
        <v>5</v>
      </c>
      <c r="Y21" s="53">
        <v>6</v>
      </c>
      <c r="Z21" s="62">
        <v>4</v>
      </c>
      <c r="AA21" s="52">
        <v>5</v>
      </c>
      <c r="AB21" s="53">
        <v>6</v>
      </c>
      <c r="AC21" s="2"/>
      <c r="AD21" s="2"/>
    </row>
    <row r="22" spans="2:32" s="1" customFormat="1" ht="33" customHeight="1" thickBot="1" x14ac:dyDescent="0.35">
      <c r="B22" s="255" t="s">
        <v>60</v>
      </c>
      <c r="C22" s="255"/>
      <c r="D22" s="255"/>
      <c r="E22" s="255"/>
      <c r="G22" s="69" t="s">
        <v>24</v>
      </c>
      <c r="H22" s="101">
        <f>S22*기준표!T22+(S22*($D$13-기준표!$D$13))</f>
        <v>7758142232092.002</v>
      </c>
      <c r="I22" s="17">
        <v>25</v>
      </c>
      <c r="J22" s="18">
        <f t="shared" si="2"/>
        <v>5.4080807111136359E-3</v>
      </c>
      <c r="K22" s="83"/>
      <c r="L22" s="78">
        <f>605*6</f>
        <v>3630</v>
      </c>
      <c r="M22" s="40">
        <v>11</v>
      </c>
      <c r="N22" s="36">
        <f>I22-M22-1</f>
        <v>13</v>
      </c>
      <c r="O22" s="41">
        <v>0</v>
      </c>
      <c r="P22" s="33">
        <f t="shared" si="0"/>
        <v>3452928120.8532596</v>
      </c>
      <c r="Q22" s="34">
        <f t="shared" si="3"/>
        <v>3406397755.1556611</v>
      </c>
      <c r="R22" s="118">
        <f>(ROUNDDOWN(($D$3+4)*($D$4+100)/100+$D$5,0)*4+ROUNDDOWN(($D$6+4)*($D$7+100)/100+$D$8,0))*0.01*ROUNDDOWN(($D$9+104)*($D$10+100)/100,0)*($D$11+135)/100*0.955*1.24*(1.25*1.2*1.25*1.23*1.1)*(1.06)*1.2*($L22/100*O22+1650/100*12)*0.01*(1-(3.8*0.91*(100-$D$12)/100))</f>
        <v>1020898428.1185797</v>
      </c>
      <c r="S22" s="67">
        <f t="shared" si="1"/>
        <v>7880224304.1275005</v>
      </c>
      <c r="T22" s="112"/>
      <c r="U22" s="327"/>
      <c r="V22" s="50" t="s">
        <v>78</v>
      </c>
      <c r="W22" s="54">
        <f>(((($S$10+$S$17+$S$18)*140+$H$10+$H$17+$H$18)/($D$10+100)*($D$10+10+100)+(((SUM($S$5:$S$9)+SUM($S$11:$S$16)+SUM($S$19:$S$22))/12.1*8*140)+$H$23-$H$10-$H$17-$H$18)/($D$10+100)*($D$10+10/12.1*8+100))/$H$23)-1</f>
        <v>0.1276786025420098</v>
      </c>
      <c r="X22" s="54">
        <f>(((($S$10+$S$17+$S$18)*160+$H$10+$H$17+$H$18)/($D$10+100)*($D$10+12+100)+(((SUM($S$5:$S$22)-$S$10-$S$17-$S$18)/12.1*8*160)+$H$23-$H$10-$H$17-$H$18)/($D$10+100)*($D$10+12/12.1*8+100))/$H$23)-1</f>
        <v>0.14817682630842688</v>
      </c>
      <c r="Y22" s="55">
        <f>(((($S$10+$S$17+$S$18)*195+$H$10+$H$17+$H$18)/($D$10+100)*($D$10+14+100)+(((SUM($S$5:$S$9)+SUM($S$11:$S$16)+SUM($S$19:$S$22))/12.1*8*195)+$H$23-$H$10-$H$17-$H$18)/($D$10+100)*($D$10+14/12.1*8+100))/$H$23)-1</f>
        <v>0.17959512692953594</v>
      </c>
      <c r="Z22" s="54">
        <f>($S$46/($D$10+100)*($D$10+80+100)-$S$46)/$H$23</f>
        <v>0.11052216644521909</v>
      </c>
      <c r="AA22" s="54">
        <f>($Q$46/($D$10+100)*($D$10+80+100)-$Q$46)/$H$23</f>
        <v>0.1320855586239284</v>
      </c>
      <c r="AB22" s="55">
        <f>($Q$46/($D$10+100)*($D$10+95+100)-$Q$46)/$H$23</f>
        <v>0.15685160086591499</v>
      </c>
      <c r="AC22" s="2"/>
      <c r="AD22" s="2"/>
    </row>
    <row r="23" spans="2:32" s="1" customFormat="1" ht="33" customHeight="1" thickBot="1" x14ac:dyDescent="0.35">
      <c r="B23" s="255" t="s">
        <v>62</v>
      </c>
      <c r="C23" s="255"/>
      <c r="D23" s="255"/>
      <c r="E23" s="255"/>
      <c r="G23" s="70" t="s">
        <v>36</v>
      </c>
      <c r="H23" s="71">
        <f>SUM($H$5:$H$22)</f>
        <v>1434546310699279.5</v>
      </c>
      <c r="I23" s="72"/>
      <c r="J23" s="73">
        <f t="shared" si="2"/>
        <v>1</v>
      </c>
      <c r="K23" s="84"/>
      <c r="L23" s="79"/>
      <c r="M23" s="42"/>
      <c r="N23" s="43"/>
      <c r="O23" s="44"/>
      <c r="P23" s="74"/>
      <c r="Q23" s="75"/>
      <c r="R23" s="119"/>
      <c r="S23" s="76"/>
      <c r="T23" s="113"/>
      <c r="U23" s="327"/>
      <c r="V23" s="63" t="s">
        <v>93</v>
      </c>
      <c r="W23" s="54">
        <f>(((($P$10+$S$17+$S$18)*140+$H$16/$L$16*$L$10/$I$16*3+$H$17+$H$18)/($D$10+100)*($D$10+10+100)+(((SUM($S$5:$S$9)+SUM($S$11:$S$16)+SUM($S$19:$S$22))/12.1*8*140)+$H$23-$H$10-$H$17-$H$18)/($D$10+100)*($D$10+10/12.1*8+100))/$H$23)-1</f>
        <v>0.10798298071560231</v>
      </c>
      <c r="X23" s="54">
        <f>(((($P$10+$S$17+$S$18)*160+$H$16/$L$16*$L$10/$I$16*3+$H$17+$H$18)/($D$10+100)*($D$10+12+100)+(((SUM($S$5:$S$9)+SUM($S$11:$S$16)+SUM($S$19:$S$22))/12.1*8*160)+$H$23-$H$10-$H$17-$H$18)/($D$10+100)*($D$10+12/12.1*8+100))/$H$23)-1</f>
        <v>0.12797532609642204</v>
      </c>
      <c r="Y23" s="55">
        <f>(((($P$10+$S$17+$S$18)*195+$H$16/$L$16*$L$10/$I$16*3+$H$17+$H$18)/($D$10+100)*($D$10+14+100)+(((SUM($S$5:$S$9)+SUM($S$11:$S$16)+SUM($S$19:$S$22))/12.1*8*195)+$H$23-$H$10-$H$17-$H$18)/($D$10+100)*($D$10+14/12.1*8+100))/$H$23)-1</f>
        <v>0.15861452898968942</v>
      </c>
      <c r="Z23" s="332" t="s">
        <v>113</v>
      </c>
      <c r="AA23" s="333"/>
      <c r="AB23" s="334"/>
      <c r="AC23" s="2"/>
      <c r="AD23" s="2"/>
    </row>
    <row r="24" spans="2:32" s="1" customFormat="1" ht="33" customHeight="1" thickBot="1" x14ac:dyDescent="0.35">
      <c r="G24" s="1" t="s">
        <v>117</v>
      </c>
      <c r="H24" s="71">
        <f>H23*(1+AA22)+S69</f>
        <v>1802703055467584.3</v>
      </c>
      <c r="L24" s="2" t="s">
        <v>69</v>
      </c>
      <c r="Z24" s="124">
        <f>(S69/(ROUNDDOWN($D$3*($D$4+100)/100+$D$5,0)*4+ROUNDDOWN($D$6*($D$7+100)/100+$D$8,0))*(ROUNDDOWN(($D$3+848*3.2)*($D$4+100)/100+$D$5,0)*4+ROUNDDOWN($D$6*($D$7+100)/100+$D$8,0))-S69)/H23</f>
        <v>2.8521774911217244E-2</v>
      </c>
      <c r="AA24" s="125">
        <f>(Q69/(ROUNDDOWN($D$3*($D$4+100)/100+$D$5,0)*4+ROUNDDOWN($D$6*($D$7+100)/100+$D$8,0))*(ROUNDDOWN(($D$3+848*3.2)*($D$4+100)/100+$D$5,0)*4+ROUNDDOWN($D$6*($D$7+100)/100+$D$8,0))-Q69)/H23</f>
        <v>3.779145745978723E-2</v>
      </c>
      <c r="AB24" s="126">
        <f>(Q69/(ROUNDDOWN($D$3*($D$4+100)/100+$D$5,0)*4+ROUNDDOWN($D$6*($D$7+100)/100+$D$8,0))*(ROUNDDOWN(($D$3+848*3.85)*($D$4+100)/100+$D$5,0)*4+ROUNDDOWN($D$6*($D$7+100)/100+$D$8,0))-Q69)/H23</f>
        <v>4.54672469599431E-2</v>
      </c>
      <c r="AC24" s="2"/>
      <c r="AD24" s="2"/>
    </row>
    <row r="25" spans="2:32" s="1" customFormat="1" ht="33" customHeight="1" thickBot="1" x14ac:dyDescent="0.35">
      <c r="B25" s="51" t="s">
        <v>68</v>
      </c>
      <c r="G25" s="1" t="s">
        <v>115</v>
      </c>
      <c r="H25" s="71">
        <f>H23*(1+X22)</f>
        <v>1647112830211161.3</v>
      </c>
      <c r="J25" s="112"/>
      <c r="P25" s="222" t="s">
        <v>83</v>
      </c>
      <c r="Q25" s="222"/>
      <c r="R25" s="222"/>
      <c r="S25" s="222"/>
      <c r="T25" s="222"/>
      <c r="U25" s="110"/>
      <c r="V25" s="107" t="s">
        <v>100</v>
      </c>
      <c r="W25" s="2">
        <v>10</v>
      </c>
      <c r="X25" s="2" t="s">
        <v>101</v>
      </c>
      <c r="Y25" s="108">
        <f>S13*(W25*3)/H23</f>
        <v>1.5666211917492389E-3</v>
      </c>
      <c r="Z25" s="2"/>
      <c r="AA25" s="2"/>
      <c r="AB25" s="2"/>
      <c r="AC25" s="2"/>
      <c r="AD25" s="2"/>
    </row>
    <row r="26" spans="2:32" s="1" customFormat="1" ht="33" customHeight="1" thickBot="1" x14ac:dyDescent="0.35">
      <c r="B26" s="2" t="s">
        <v>98</v>
      </c>
      <c r="C26" s="2"/>
      <c r="D26" s="2"/>
      <c r="E26" s="2"/>
      <c r="F26" s="2"/>
      <c r="G26" s="2"/>
      <c r="H26" s="2"/>
      <c r="I26" s="2"/>
      <c r="J26" s="2"/>
      <c r="P26" s="85"/>
      <c r="Q26" s="335" t="s">
        <v>95</v>
      </c>
      <c r="R26" s="336"/>
      <c r="S26" s="337" t="s">
        <v>96</v>
      </c>
      <c r="T26" s="336"/>
      <c r="U26" s="111"/>
      <c r="W26" s="2"/>
      <c r="X26" s="2"/>
      <c r="Y26" s="2"/>
      <c r="Z26" s="2"/>
      <c r="AA26" s="2"/>
      <c r="AB26" s="2"/>
      <c r="AC26" s="2"/>
      <c r="AD26" s="2"/>
    </row>
    <row r="27" spans="2:32" ht="33" customHeight="1" x14ac:dyDescent="0.3">
      <c r="B27" s="2" t="s">
        <v>99</v>
      </c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64" t="s">
        <v>84</v>
      </c>
      <c r="Q27" s="61" t="s">
        <v>85</v>
      </c>
      <c r="R27" s="48" t="s">
        <v>86</v>
      </c>
      <c r="S27" s="89" t="s">
        <v>85</v>
      </c>
      <c r="T27" s="48" t="s">
        <v>86</v>
      </c>
      <c r="U27" s="111"/>
      <c r="V27" s="107" t="s">
        <v>102</v>
      </c>
      <c r="W27" s="108">
        <f>(P16/M16*6*45/(D10+100)*(D10+180)+Q5/N5*6*45+Q5/N5*12*20+P13/M13*4*45+Q13/N13*4*45+Q13/N13*9*20)/H23</f>
        <v>7.7125198624360255E-4</v>
      </c>
      <c r="X27" s="2" t="s">
        <v>104</v>
      </c>
      <c r="AE27"/>
      <c r="AF27"/>
    </row>
    <row r="28" spans="2:32" ht="33" customHeight="1" x14ac:dyDescent="0.3">
      <c r="B28" s="2" t="s">
        <v>119</v>
      </c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86" t="s">
        <v>23</v>
      </c>
      <c r="Q28" s="94">
        <v>0</v>
      </c>
      <c r="R28" s="59">
        <v>0</v>
      </c>
      <c r="S28" s="90">
        <v>0</v>
      </c>
      <c r="T28" s="59">
        <v>0</v>
      </c>
      <c r="U28" s="107"/>
      <c r="V28" s="107" t="s">
        <v>106</v>
      </c>
      <c r="W28" s="2">
        <v>10</v>
      </c>
      <c r="X28" s="2" t="s">
        <v>101</v>
      </c>
      <c r="Y28" s="108">
        <f>(H14/(100+D15)*(100+D15+W28)-H14)/H23</f>
        <v>9.8595685190036673E-3</v>
      </c>
      <c r="Z28" s="109"/>
      <c r="AA28" s="109"/>
      <c r="AE28"/>
      <c r="AF28"/>
    </row>
    <row r="29" spans="2:32" ht="33" customHeight="1" x14ac:dyDescent="0.3">
      <c r="B29" s="2" t="s">
        <v>82</v>
      </c>
      <c r="C29" s="2"/>
      <c r="D29" s="2"/>
      <c r="E29" s="2"/>
      <c r="F29" s="2"/>
      <c r="G29" s="2"/>
      <c r="H29" s="2"/>
      <c r="I29" s="2"/>
      <c r="J29" s="2"/>
      <c r="P29" s="87" t="s">
        <v>30</v>
      </c>
      <c r="Q29" s="95">
        <f t="shared" ref="Q29:Q34" si="4">($H$16/$L$16*L6)/$I$16*R29</f>
        <v>11933218076423.465</v>
      </c>
      <c r="R29" s="60">
        <v>30</v>
      </c>
      <c r="S29" s="91">
        <f t="shared" ref="S29:S34" si="5">($H$16/$L$16*L6)/$I$16*T29</f>
        <v>8353252653496.4258</v>
      </c>
      <c r="T29" s="59">
        <v>21</v>
      </c>
      <c r="U29" s="107"/>
      <c r="V29" t="s">
        <v>107</v>
      </c>
      <c r="W29" s="2"/>
      <c r="X29" s="2" t="s">
        <v>101</v>
      </c>
      <c r="Y29" s="108">
        <f>SUM(S5:S22)*10/H23</f>
        <v>9.7872833699512111E-3</v>
      </c>
      <c r="AE29"/>
      <c r="AF29"/>
    </row>
    <row r="30" spans="2:32" ht="33" customHeight="1" x14ac:dyDescent="0.3">
      <c r="B30" s="2" t="s">
        <v>89</v>
      </c>
      <c r="C30" s="2"/>
      <c r="D30" s="2"/>
      <c r="E30" s="2"/>
      <c r="F30" s="2"/>
      <c r="G30" s="2"/>
      <c r="H30" s="2"/>
      <c r="I30" s="2"/>
      <c r="J30" s="2"/>
      <c r="P30" s="87" t="s">
        <v>31</v>
      </c>
      <c r="Q30" s="95">
        <f t="shared" si="4"/>
        <v>21000487298053.719</v>
      </c>
      <c r="R30" s="60">
        <v>6</v>
      </c>
      <c r="S30" s="91">
        <f t="shared" si="5"/>
        <v>21000487298053.719</v>
      </c>
      <c r="T30" s="60">
        <v>6</v>
      </c>
      <c r="U30" s="1"/>
      <c r="W30" s="2"/>
      <c r="X30" s="2"/>
      <c r="AE30"/>
      <c r="AF30"/>
    </row>
    <row r="31" spans="2:32" ht="33" customHeight="1" x14ac:dyDescent="0.3">
      <c r="C31" s="2"/>
      <c r="D31" s="2"/>
      <c r="E31" s="2"/>
      <c r="F31" s="2"/>
      <c r="G31" s="2"/>
      <c r="H31" s="2"/>
      <c r="I31" s="2"/>
      <c r="J31" s="2"/>
      <c r="P31" s="87" t="s">
        <v>32</v>
      </c>
      <c r="Q31" s="95">
        <f t="shared" si="4"/>
        <v>12723824657056.074</v>
      </c>
      <c r="R31" s="60">
        <v>3</v>
      </c>
      <c r="S31" s="91">
        <f t="shared" si="5"/>
        <v>12723824657056.074</v>
      </c>
      <c r="T31" s="60">
        <v>3</v>
      </c>
      <c r="U31" s="1"/>
      <c r="W31" s="2"/>
      <c r="X31" s="2"/>
      <c r="AE31"/>
      <c r="AF31"/>
    </row>
    <row r="32" spans="2:32" ht="33" customHeight="1" x14ac:dyDescent="0.3">
      <c r="C32" s="2"/>
      <c r="D32" s="2"/>
      <c r="E32" s="2"/>
      <c r="F32" s="2"/>
      <c r="G32" s="2"/>
      <c r="H32" s="2"/>
      <c r="I32" s="2"/>
      <c r="J32" s="2"/>
      <c r="P32" s="87" t="s">
        <v>9</v>
      </c>
      <c r="Q32" s="95">
        <f t="shared" si="4"/>
        <v>35936662756027.75</v>
      </c>
      <c r="R32" s="60">
        <v>8</v>
      </c>
      <c r="S32" s="91">
        <f t="shared" si="5"/>
        <v>26952497067020.813</v>
      </c>
      <c r="T32" s="59">
        <v>6</v>
      </c>
      <c r="U32" s="107"/>
      <c r="W32" s="2"/>
      <c r="X32" s="2"/>
      <c r="AE32"/>
      <c r="AF32"/>
    </row>
    <row r="33" spans="3:32" ht="33" customHeight="1" x14ac:dyDescent="0.3">
      <c r="C33" s="47"/>
      <c r="D33" s="47"/>
      <c r="E33" s="47"/>
      <c r="F33" s="47"/>
      <c r="G33" s="47"/>
      <c r="H33" s="47"/>
      <c r="P33" s="86" t="s">
        <v>19</v>
      </c>
      <c r="Q33" s="95">
        <f t="shared" si="4"/>
        <v>31444579911524.281</v>
      </c>
      <c r="R33" s="59">
        <v>3</v>
      </c>
      <c r="S33" s="91">
        <f t="shared" si="5"/>
        <v>31444579911524.281</v>
      </c>
      <c r="T33" s="59">
        <v>3</v>
      </c>
      <c r="U33" s="107"/>
      <c r="W33" s="2"/>
      <c r="X33" s="2"/>
      <c r="AE33"/>
      <c r="AF33"/>
    </row>
    <row r="34" spans="3:32" ht="33" customHeight="1" x14ac:dyDescent="0.3">
      <c r="P34" s="87" t="s">
        <v>13</v>
      </c>
      <c r="Q34" s="95">
        <f t="shared" si="4"/>
        <v>33724311955109.797</v>
      </c>
      <c r="R34" s="60">
        <v>24</v>
      </c>
      <c r="S34" s="91">
        <f t="shared" si="5"/>
        <v>25293233966332.348</v>
      </c>
      <c r="T34" s="59">
        <v>18</v>
      </c>
      <c r="U34" s="107"/>
      <c r="W34" s="2"/>
      <c r="X34" s="2"/>
      <c r="AE34"/>
      <c r="AF34"/>
    </row>
    <row r="35" spans="3:32" ht="33" customHeight="1" x14ac:dyDescent="0.3">
      <c r="F35" s="2" t="s">
        <v>79</v>
      </c>
      <c r="G35" s="2"/>
      <c r="H35" s="2"/>
      <c r="I35" s="2"/>
      <c r="J35" s="2"/>
      <c r="K35" s="2"/>
      <c r="L35" s="2"/>
      <c r="M35" s="2"/>
      <c r="P35" s="87" t="s">
        <v>22</v>
      </c>
      <c r="Q35" s="95">
        <f>$H$12/$I$12*$R$35</f>
        <v>47421884588754.414</v>
      </c>
      <c r="R35" s="60">
        <v>24</v>
      </c>
      <c r="S35" s="91">
        <f>$H$12/$I$12*T35</f>
        <v>35566413441565.813</v>
      </c>
      <c r="T35" s="59">
        <v>18</v>
      </c>
      <c r="U35" s="107"/>
      <c r="W35" s="2"/>
      <c r="X35" s="2"/>
      <c r="AE35"/>
      <c r="AF35"/>
    </row>
    <row r="36" spans="3:32" ht="33" customHeight="1" x14ac:dyDescent="0.3">
      <c r="F36" s="2" t="s">
        <v>97</v>
      </c>
      <c r="G36" s="2"/>
      <c r="H36" s="2"/>
      <c r="I36" s="2" t="s">
        <v>64</v>
      </c>
      <c r="J36" s="2"/>
      <c r="K36" s="2" t="s">
        <v>66</v>
      </c>
      <c r="L36" s="2"/>
      <c r="P36" s="87" t="s">
        <v>17</v>
      </c>
      <c r="Q36" s="95">
        <f>($H$16/$L$16*L13)/$I$16*R36</f>
        <v>17368638318272.664</v>
      </c>
      <c r="R36" s="60">
        <f>ROUNDDOWN($M$13/24*20,0)</f>
        <v>95</v>
      </c>
      <c r="S36" s="91">
        <f>($H$16/$L$16*L13)/$I$16*T36</f>
        <v>13346427339304.258</v>
      </c>
      <c r="T36" s="59">
        <v>73</v>
      </c>
      <c r="U36" s="107"/>
      <c r="W36" s="2"/>
      <c r="X36" s="2"/>
      <c r="AE36"/>
      <c r="AF36"/>
    </row>
    <row r="37" spans="3:32" ht="33" customHeight="1" x14ac:dyDescent="0.3">
      <c r="F37" s="2" t="s">
        <v>61</v>
      </c>
      <c r="G37" s="2"/>
      <c r="H37" s="2"/>
      <c r="I37" s="2" t="s">
        <v>65</v>
      </c>
      <c r="J37" s="2"/>
      <c r="K37" s="2" t="s">
        <v>92</v>
      </c>
      <c r="L37" s="2"/>
      <c r="P37" s="87" t="s">
        <v>16</v>
      </c>
      <c r="Q37" s="95">
        <f>($H$16/$L$16*L14)/$I$16*R37</f>
        <v>38801488590109.844</v>
      </c>
      <c r="R37" s="60">
        <f>ROUNDDOWN($I$14/113*20,0)</f>
        <v>12</v>
      </c>
      <c r="S37" s="91">
        <f>($H$16/$L$16*L14)/$I$16*T37</f>
        <v>29101116442582.383</v>
      </c>
      <c r="T37" s="59">
        <v>9</v>
      </c>
      <c r="U37" s="107"/>
      <c r="W37" s="2"/>
      <c r="X37" s="2"/>
      <c r="AE37"/>
      <c r="AF37"/>
    </row>
    <row r="38" spans="3:32" ht="33" customHeight="1" x14ac:dyDescent="0.3">
      <c r="F38" s="2" t="s">
        <v>81</v>
      </c>
      <c r="G38" s="2"/>
      <c r="H38" s="2"/>
      <c r="I38" s="2" t="s">
        <v>76</v>
      </c>
      <c r="J38" s="2"/>
      <c r="K38" s="2" t="s">
        <v>75</v>
      </c>
      <c r="L38" s="2"/>
      <c r="M38" s="2"/>
      <c r="P38" s="86" t="s">
        <v>18</v>
      </c>
      <c r="Q38" s="96">
        <f>H15/I15*R38</f>
        <v>58238675567744.156</v>
      </c>
      <c r="R38" s="59">
        <v>57</v>
      </c>
      <c r="S38" s="92">
        <f>H15/I15*T38</f>
        <v>42912708313074.641</v>
      </c>
      <c r="T38" s="59">
        <v>42</v>
      </c>
      <c r="U38" s="107"/>
      <c r="V38" t="s">
        <v>108</v>
      </c>
      <c r="W38" s="2"/>
      <c r="X38" s="2"/>
      <c r="Z38" s="29"/>
      <c r="AE38"/>
      <c r="AF38"/>
    </row>
    <row r="39" spans="3:32" ht="33" customHeight="1" x14ac:dyDescent="0.3">
      <c r="F39" s="2" t="s">
        <v>87</v>
      </c>
      <c r="G39" s="2"/>
      <c r="H39" s="2"/>
      <c r="I39" s="2"/>
      <c r="J39" s="2"/>
      <c r="K39" s="2" t="s">
        <v>73</v>
      </c>
      <c r="L39" s="2"/>
      <c r="M39" s="2"/>
      <c r="P39" s="86" t="s">
        <v>21</v>
      </c>
      <c r="Q39" s="96">
        <f>H16/I16*R39</f>
        <v>109251946861168.88</v>
      </c>
      <c r="R39" s="59">
        <v>67</v>
      </c>
      <c r="S39" s="92">
        <f>H16/I16*T39</f>
        <v>81531303627737.969</v>
      </c>
      <c r="T39" s="59">
        <v>50</v>
      </c>
      <c r="U39" s="107"/>
      <c r="V39" t="s">
        <v>109</v>
      </c>
      <c r="W39" s="2"/>
      <c r="X39" s="2"/>
      <c r="AE39"/>
      <c r="AF39"/>
    </row>
    <row r="40" spans="3:32" ht="33" customHeight="1" x14ac:dyDescent="0.3">
      <c r="F40"/>
      <c r="K40" s="2" t="s">
        <v>74</v>
      </c>
      <c r="P40" s="86" t="s">
        <v>27</v>
      </c>
      <c r="Q40" s="96">
        <f>H17/I17*R40</f>
        <v>65968359156719.18</v>
      </c>
      <c r="R40" s="59">
        <v>3</v>
      </c>
      <c r="S40" s="92">
        <f>H17/I17*T40</f>
        <v>65968359156719.18</v>
      </c>
      <c r="T40" s="59">
        <v>3</v>
      </c>
      <c r="U40" s="107"/>
      <c r="V40" t="s">
        <v>110</v>
      </c>
      <c r="W40" s="2"/>
      <c r="X40" s="2"/>
      <c r="AE40"/>
      <c r="AF40"/>
    </row>
    <row r="41" spans="3:32" ht="33" customHeight="1" x14ac:dyDescent="0.3">
      <c r="P41" s="87" t="s">
        <v>26</v>
      </c>
      <c r="Q41" s="96">
        <f>H18/I18*R41</f>
        <v>81576028692571.875</v>
      </c>
      <c r="R41" s="60">
        <v>1</v>
      </c>
      <c r="S41" s="92">
        <f>H18/I18*T41</f>
        <v>81576028692571.875</v>
      </c>
      <c r="T41" s="59">
        <v>1</v>
      </c>
      <c r="U41" s="107"/>
      <c r="V41" t="s">
        <v>111</v>
      </c>
      <c r="W41" s="2"/>
      <c r="X41" s="2"/>
      <c r="AE41"/>
      <c r="AF41"/>
    </row>
    <row r="42" spans="3:32" ht="33" customHeight="1" x14ac:dyDescent="0.3">
      <c r="P42" s="86" t="s">
        <v>20</v>
      </c>
      <c r="Q42" s="95">
        <f>($H$16/$L$16*L19)/$I$16*R42</f>
        <v>15750365473540.285</v>
      </c>
      <c r="R42" s="59">
        <v>170</v>
      </c>
      <c r="S42" s="91">
        <f>($H$16/$L$16*L19)/$I$16*T42</f>
        <v>12507643170164.344</v>
      </c>
      <c r="T42" s="59">
        <v>135</v>
      </c>
      <c r="U42" s="107"/>
      <c r="W42" s="2"/>
      <c r="X42" s="2"/>
      <c r="AE42"/>
      <c r="AF42"/>
    </row>
    <row r="43" spans="3:32" ht="33" customHeight="1" x14ac:dyDescent="0.3">
      <c r="M43">
        <f>848*3.2</f>
        <v>2713.6000000000004</v>
      </c>
      <c r="P43" s="87" t="s">
        <v>12</v>
      </c>
      <c r="Q43" s="95">
        <f>($H$16/$L$16*L20)/$I$16*R43</f>
        <v>5053593200066.4023</v>
      </c>
      <c r="R43" s="60">
        <v>9</v>
      </c>
      <c r="S43" s="91">
        <f>($H$16/$L$16*L20)/$I$16*T43</f>
        <v>3369062133377.6016</v>
      </c>
      <c r="T43" s="59">
        <v>6</v>
      </c>
      <c r="U43" s="107"/>
      <c r="W43" s="2"/>
      <c r="X43" s="2"/>
      <c r="AE43"/>
      <c r="AF43"/>
    </row>
    <row r="44" spans="3:32" ht="33" customHeight="1" x14ac:dyDescent="0.3">
      <c r="P44" s="86" t="s">
        <v>25</v>
      </c>
      <c r="Q44" s="95">
        <f>($H$16/$L$16*L21)/$I$16*R44</f>
        <v>2882419825223.0591</v>
      </c>
      <c r="R44" s="59">
        <v>10</v>
      </c>
      <c r="S44" s="91">
        <f>($H$16/$L$16*L21)/$I$16*T44</f>
        <v>1441209912611.5295</v>
      </c>
      <c r="T44" s="59">
        <v>5</v>
      </c>
      <c r="U44" s="107"/>
      <c r="W44" s="2"/>
      <c r="X44" s="2"/>
      <c r="AE44"/>
      <c r="AF44"/>
    </row>
    <row r="45" spans="3:32" ht="33" customHeight="1" x14ac:dyDescent="0.3">
      <c r="P45" s="86" t="s">
        <v>24</v>
      </c>
      <c r="Q45" s="95">
        <f>($H$16/$L$16*L22)/$I$16*R45</f>
        <v>3057423886040.1729</v>
      </c>
      <c r="R45" s="59">
        <v>9</v>
      </c>
      <c r="S45" s="91">
        <f>($H$16/$L$16*L22)/$I$16*T45</f>
        <v>2377996355809.0234</v>
      </c>
      <c r="T45" s="59">
        <v>7</v>
      </c>
      <c r="U45" s="107"/>
      <c r="W45" s="2"/>
      <c r="X45" s="2"/>
      <c r="AE45"/>
      <c r="AF45"/>
    </row>
    <row r="46" spans="3:32" ht="33" customHeight="1" thickBot="1" x14ac:dyDescent="0.35">
      <c r="P46" s="88" t="s">
        <v>36</v>
      </c>
      <c r="Q46" s="97">
        <f>SUM(Q28:Q45)</f>
        <v>592133908814405.75</v>
      </c>
      <c r="R46" s="44"/>
      <c r="S46" s="93">
        <f>SUM(S28:S45)</f>
        <v>495466144139002.25</v>
      </c>
      <c r="T46" s="44"/>
      <c r="U46" s="1"/>
      <c r="W46" s="2"/>
      <c r="X46" s="2"/>
      <c r="AE46"/>
      <c r="AF46"/>
    </row>
    <row r="47" spans="3:32" ht="33" customHeight="1" x14ac:dyDescent="0.3">
      <c r="W47" s="2"/>
      <c r="X47" s="2"/>
      <c r="AE47"/>
      <c r="AF47"/>
    </row>
    <row r="48" spans="3:32" ht="33" customHeight="1" thickBot="1" x14ac:dyDescent="0.35">
      <c r="P48" s="338" t="s">
        <v>122</v>
      </c>
      <c r="Q48" s="338"/>
      <c r="R48" s="338"/>
      <c r="S48" s="338"/>
      <c r="T48" s="338"/>
      <c r="U48" s="110"/>
      <c r="W48" s="2"/>
      <c r="X48" s="2"/>
      <c r="AE48"/>
      <c r="AF48"/>
    </row>
    <row r="49" spans="16:32" ht="33" customHeight="1" thickBot="1" x14ac:dyDescent="0.35">
      <c r="P49" s="85"/>
      <c r="Q49" s="335" t="s">
        <v>95</v>
      </c>
      <c r="R49" s="336"/>
      <c r="S49" s="337" t="s">
        <v>96</v>
      </c>
      <c r="T49" s="336"/>
      <c r="U49" s="111"/>
      <c r="W49" s="2"/>
      <c r="X49" s="2"/>
      <c r="AE49"/>
      <c r="AF49"/>
    </row>
    <row r="50" spans="16:32" ht="33" customHeight="1" x14ac:dyDescent="0.3">
      <c r="P50" s="64" t="s">
        <v>84</v>
      </c>
      <c r="Q50" s="61" t="s">
        <v>85</v>
      </c>
      <c r="R50" s="48" t="s">
        <v>86</v>
      </c>
      <c r="S50" s="89" t="s">
        <v>85</v>
      </c>
      <c r="T50" s="48" t="s">
        <v>86</v>
      </c>
      <c r="U50" s="111"/>
      <c r="W50" s="2"/>
      <c r="X50" s="2"/>
      <c r="AE50"/>
      <c r="AF50"/>
    </row>
    <row r="51" spans="16:32" ht="33" customHeight="1" x14ac:dyDescent="0.3">
      <c r="P51" s="86" t="s">
        <v>23</v>
      </c>
      <c r="Q51" s="95">
        <f>$Q5/$N5*R51*(기준표!$T$10-58.5)</f>
        <v>92447032057419.375</v>
      </c>
      <c r="R51" s="59">
        <v>99</v>
      </c>
      <c r="S51" s="91">
        <f>$Q5/$N5*T51*(기준표!$T$10-58.5)</f>
        <v>70035630346529.828</v>
      </c>
      <c r="T51" s="59">
        <v>75</v>
      </c>
      <c r="U51" s="107"/>
      <c r="W51" s="2"/>
      <c r="X51" s="2"/>
      <c r="AE51"/>
      <c r="AF51"/>
    </row>
    <row r="52" spans="16:32" ht="33" customHeight="1" x14ac:dyDescent="0.3">
      <c r="P52" s="87" t="s">
        <v>30</v>
      </c>
      <c r="Q52" s="95">
        <f>$Q6/$N6*R52*(기준표!$T$10-58.5)</f>
        <v>9155452647111.5996</v>
      </c>
      <c r="R52" s="60">
        <v>30</v>
      </c>
      <c r="S52" s="91">
        <f>Q6/N6*T52*(기준표!$T$10-58.5)</f>
        <v>6408816852978.1191</v>
      </c>
      <c r="T52" s="59">
        <v>21</v>
      </c>
      <c r="U52" s="107"/>
      <c r="W52" s="2"/>
      <c r="X52" s="2"/>
      <c r="AE52"/>
      <c r="AF52"/>
    </row>
    <row r="53" spans="16:32" ht="33" customHeight="1" x14ac:dyDescent="0.3">
      <c r="P53" s="87" t="s">
        <v>31</v>
      </c>
      <c r="Q53" s="95">
        <f>$Q7/$N7*R53*(기준표!$T$10-58.5)</f>
        <v>16112080227836.15</v>
      </c>
      <c r="R53" s="60">
        <v>6</v>
      </c>
      <c r="S53" s="91">
        <f>Q7/N7*T53*(기준표!$T$10-58.5)</f>
        <v>8056040113918.0752</v>
      </c>
      <c r="T53" s="60">
        <v>3</v>
      </c>
      <c r="U53" s="1"/>
      <c r="W53" s="2"/>
      <c r="X53" s="2"/>
      <c r="AE53"/>
      <c r="AF53"/>
    </row>
    <row r="54" spans="16:32" ht="33" customHeight="1" x14ac:dyDescent="0.3">
      <c r="P54" s="87" t="s">
        <v>32</v>
      </c>
      <c r="Q54" s="95">
        <f>$Q8/$N8*R54*(기준표!$T$10-58.5)</f>
        <v>0</v>
      </c>
      <c r="R54" s="60">
        <v>0</v>
      </c>
      <c r="S54" s="91">
        <f>Q8/N8*T54*(기준표!$T$10-58.5)</f>
        <v>0</v>
      </c>
      <c r="T54" s="60">
        <v>0</v>
      </c>
      <c r="U54" s="1"/>
      <c r="W54" s="2"/>
      <c r="X54" s="2"/>
      <c r="AE54"/>
      <c r="AF54"/>
    </row>
    <row r="55" spans="16:32" ht="33" customHeight="1" x14ac:dyDescent="0.3">
      <c r="P55" s="87" t="s">
        <v>9</v>
      </c>
      <c r="Q55" s="95">
        <f>$Q9/$N9*R55*(기준표!$T$10-58.5)</f>
        <v>30475110930769.656</v>
      </c>
      <c r="R55" s="60">
        <v>9</v>
      </c>
      <c r="S55" s="91">
        <f>Q9/N9*T55*(기준표!$T$10-58.5)</f>
        <v>20316740620513.105</v>
      </c>
      <c r="T55" s="59">
        <v>6</v>
      </c>
      <c r="U55" s="107"/>
      <c r="W55" s="2"/>
      <c r="X55" s="2"/>
      <c r="AE55"/>
      <c r="AF55"/>
    </row>
    <row r="56" spans="16:32" ht="33" customHeight="1" x14ac:dyDescent="0.3">
      <c r="P56" s="86" t="s">
        <v>19</v>
      </c>
      <c r="Q56" s="95">
        <f>$Q10/$N10*R56*(기준표!$T$10-58.5)</f>
        <v>23702864057265.285</v>
      </c>
      <c r="R56" s="59">
        <v>3</v>
      </c>
      <c r="S56" s="91">
        <f>Q10/N10*T56*(기준표!$T$10-58.5)</f>
        <v>23702864057265.285</v>
      </c>
      <c r="T56" s="59">
        <v>3</v>
      </c>
      <c r="U56" s="107"/>
      <c r="W56" s="2"/>
      <c r="X56" s="2"/>
      <c r="AE56"/>
      <c r="AF56"/>
    </row>
    <row r="57" spans="16:32" ht="33" customHeight="1" x14ac:dyDescent="0.3">
      <c r="P57" s="87" t="s">
        <v>13</v>
      </c>
      <c r="Q57" s="95">
        <f>$Q11/$N11*R57*(기준표!$T$10-58.5)</f>
        <v>9763915276906.5059</v>
      </c>
      <c r="R57" s="60">
        <v>9</v>
      </c>
      <c r="S57" s="91">
        <f>Q11/N11*T57*(기준표!$T$10-58.5)</f>
        <v>6509276851271.0049</v>
      </c>
      <c r="T57" s="59">
        <v>6</v>
      </c>
      <c r="U57" s="107"/>
      <c r="W57" s="2"/>
      <c r="X57" s="2"/>
      <c r="AE57"/>
      <c r="AF57"/>
    </row>
    <row r="58" spans="16:32" ht="33" customHeight="1" x14ac:dyDescent="0.3">
      <c r="P58" s="87" t="s">
        <v>22</v>
      </c>
      <c r="Q58" s="95">
        <v>0</v>
      </c>
      <c r="R58" s="60">
        <v>0</v>
      </c>
      <c r="S58" s="91">
        <v>0</v>
      </c>
      <c r="T58" s="59">
        <v>0</v>
      </c>
      <c r="U58" s="107"/>
      <c r="W58" s="2"/>
      <c r="X58" s="2"/>
      <c r="AE58"/>
      <c r="AF58"/>
    </row>
    <row r="59" spans="16:32" ht="33" customHeight="1" x14ac:dyDescent="0.3">
      <c r="P59" s="87" t="s">
        <v>17</v>
      </c>
      <c r="Q59" s="95">
        <f>$Q13/$N13*R59*(기준표!$T$10-58.5)</f>
        <v>12063209243523.441</v>
      </c>
      <c r="R59" s="60">
        <v>86</v>
      </c>
      <c r="S59" s="91">
        <f>Q13/N13*T59*(기준표!$T$10-58.5)</f>
        <v>8837002120255.5449</v>
      </c>
      <c r="T59" s="59">
        <v>63</v>
      </c>
      <c r="U59" s="107"/>
      <c r="W59" s="2"/>
      <c r="X59" s="2"/>
      <c r="AE59"/>
      <c r="AF59"/>
    </row>
    <row r="60" spans="16:32" ht="33" customHeight="1" x14ac:dyDescent="0.3">
      <c r="P60" s="87" t="s">
        <v>16</v>
      </c>
      <c r="Q60" s="95">
        <f>$Q14/$N14*R60*(기준표!$T$10-58.5)</f>
        <v>30452923950923.645</v>
      </c>
      <c r="R60" s="60">
        <v>12</v>
      </c>
      <c r="S60" s="91">
        <f>Q14/N14*T60*(기준표!$T$10-58.5)</f>
        <v>22839692963192.734</v>
      </c>
      <c r="T60" s="59">
        <v>9</v>
      </c>
      <c r="U60" s="107"/>
      <c r="W60" s="2"/>
      <c r="X60" s="2"/>
      <c r="AE60"/>
      <c r="AF60"/>
    </row>
    <row r="61" spans="16:32" ht="33" customHeight="1" x14ac:dyDescent="0.3">
      <c r="P61" s="86" t="s">
        <v>18</v>
      </c>
      <c r="Q61" s="95">
        <v>0</v>
      </c>
      <c r="R61" s="59">
        <v>0</v>
      </c>
      <c r="S61" s="91">
        <v>0</v>
      </c>
      <c r="T61" s="59">
        <v>0</v>
      </c>
      <c r="U61" s="107"/>
      <c r="W61" s="2"/>
      <c r="X61" s="2"/>
      <c r="AE61"/>
      <c r="AF61"/>
    </row>
    <row r="62" spans="16:32" ht="33" customHeight="1" x14ac:dyDescent="0.3">
      <c r="P62" s="86" t="s">
        <v>21</v>
      </c>
      <c r="Q62" s="95">
        <v>0</v>
      </c>
      <c r="R62" s="59">
        <v>0</v>
      </c>
      <c r="S62" s="91">
        <v>0</v>
      </c>
      <c r="T62" s="59">
        <v>0</v>
      </c>
      <c r="U62" s="107"/>
      <c r="W62" s="2"/>
      <c r="X62" s="2"/>
      <c r="AE62"/>
      <c r="AF62"/>
    </row>
    <row r="63" spans="16:32" ht="33" customHeight="1" x14ac:dyDescent="0.3">
      <c r="P63" s="86" t="s">
        <v>27</v>
      </c>
      <c r="Q63" s="95">
        <v>0</v>
      </c>
      <c r="R63" s="59">
        <v>0</v>
      </c>
      <c r="S63" s="91">
        <v>0</v>
      </c>
      <c r="T63" s="59">
        <v>0</v>
      </c>
      <c r="U63" s="107"/>
      <c r="W63" s="2"/>
      <c r="X63" s="2"/>
      <c r="AE63"/>
      <c r="AF63"/>
    </row>
    <row r="64" spans="16:32" ht="33" customHeight="1" x14ac:dyDescent="0.3">
      <c r="P64" s="87" t="s">
        <v>26</v>
      </c>
      <c r="Q64" s="95">
        <v>0</v>
      </c>
      <c r="R64" s="60">
        <v>0</v>
      </c>
      <c r="S64" s="91">
        <v>0</v>
      </c>
      <c r="T64" s="59">
        <v>0</v>
      </c>
      <c r="U64" s="107"/>
      <c r="W64" s="2"/>
      <c r="X64" s="2"/>
      <c r="AE64"/>
      <c r="AF64"/>
    </row>
    <row r="65" spans="16:32" ht="33" customHeight="1" x14ac:dyDescent="0.3">
      <c r="P65" s="86" t="s">
        <v>20</v>
      </c>
      <c r="Q65" s="95">
        <f>$Q19/$N19*R65*(기준표!$T$10-58.5)</f>
        <v>12570983258942.486</v>
      </c>
      <c r="R65" s="59">
        <v>180</v>
      </c>
      <c r="S65" s="91">
        <f>Q19/N19*T65*(기준표!$T$10-58.5)</f>
        <v>9428237444206.8652</v>
      </c>
      <c r="T65" s="59">
        <v>135</v>
      </c>
      <c r="U65" s="107"/>
      <c r="W65" s="2"/>
      <c r="X65" s="2"/>
      <c r="AE65"/>
      <c r="AF65"/>
    </row>
    <row r="66" spans="16:32" ht="33" customHeight="1" x14ac:dyDescent="0.3">
      <c r="P66" s="87" t="s">
        <v>12</v>
      </c>
      <c r="Q66" s="95">
        <f>$Q20/$N20*R66*(기준표!$T$10-58.5)</f>
        <v>0</v>
      </c>
      <c r="R66" s="60">
        <v>0</v>
      </c>
      <c r="S66" s="91">
        <f>Q20/N20*T66*(기준표!$T$10-58.5)</f>
        <v>2539592577564.1382</v>
      </c>
      <c r="T66" s="59">
        <v>6</v>
      </c>
      <c r="U66" s="107"/>
      <c r="W66" s="2"/>
      <c r="X66" s="2"/>
      <c r="AE66"/>
      <c r="AF66"/>
    </row>
    <row r="67" spans="16:32" ht="33" customHeight="1" x14ac:dyDescent="0.3">
      <c r="P67" s="86" t="s">
        <v>25</v>
      </c>
      <c r="Q67" s="95">
        <f>$Q21/$N21*R67*(기준표!$T$10-58.5)</f>
        <v>0</v>
      </c>
      <c r="R67" s="59">
        <v>0</v>
      </c>
      <c r="S67" s="91">
        <f>Q21/N21*T67*(기준표!$T$10-58.5)</f>
        <v>0</v>
      </c>
      <c r="T67" s="59">
        <v>0</v>
      </c>
      <c r="U67" s="107"/>
      <c r="W67" s="2"/>
      <c r="X67" s="2"/>
      <c r="AE67"/>
      <c r="AF67"/>
    </row>
    <row r="68" spans="16:32" ht="33" customHeight="1" x14ac:dyDescent="0.3">
      <c r="P68" s="86" t="s">
        <v>24</v>
      </c>
      <c r="Q68" s="95">
        <f>$Q22/$N22*R68*(기준표!$T$10-58.5)</f>
        <v>0</v>
      </c>
      <c r="R68" s="59">
        <v>0</v>
      </c>
      <c r="S68" s="91">
        <f>Q22/N22*T68*(기준표!$T$10-58.5)</f>
        <v>0</v>
      </c>
      <c r="T68" s="59">
        <v>0</v>
      </c>
      <c r="U68" s="107"/>
      <c r="W68" s="2"/>
      <c r="X68" s="2"/>
      <c r="AE68"/>
      <c r="AF68"/>
    </row>
    <row r="69" spans="16:32" ht="33" customHeight="1" thickBot="1" x14ac:dyDescent="0.35">
      <c r="P69" s="88" t="s">
        <v>36</v>
      </c>
      <c r="Q69" s="97">
        <f>SUM(Q51:Q68)</f>
        <v>236743571650698.16</v>
      </c>
      <c r="R69" s="44"/>
      <c r="S69" s="93">
        <f>SUM(S51:S68)</f>
        <v>178673893947694.69</v>
      </c>
      <c r="T69" s="44"/>
      <c r="U69" s="1"/>
      <c r="W69" s="2"/>
      <c r="X69" s="2"/>
      <c r="AE69"/>
      <c r="AF69"/>
    </row>
    <row r="70" spans="16:32" ht="33" customHeight="1" x14ac:dyDescent="0.3">
      <c r="W70" s="2"/>
      <c r="X70" s="2"/>
      <c r="AE70"/>
      <c r="AF70"/>
    </row>
    <row r="71" spans="16:32" ht="33" customHeight="1" x14ac:dyDescent="0.3">
      <c r="W71" s="2"/>
      <c r="X71" s="2"/>
      <c r="AE71"/>
      <c r="AF71"/>
    </row>
    <row r="72" spans="16:32" ht="33" customHeight="1" x14ac:dyDescent="0.3">
      <c r="W72" s="2"/>
      <c r="X72" s="2"/>
      <c r="AE72"/>
      <c r="AF72"/>
    </row>
    <row r="73" spans="16:32" ht="33" customHeight="1" x14ac:dyDescent="0.3">
      <c r="W73" s="2"/>
      <c r="X73" s="2"/>
      <c r="AE73"/>
      <c r="AF73"/>
    </row>
    <row r="74" spans="16:32" ht="33" customHeight="1" x14ac:dyDescent="0.3">
      <c r="W74" s="2"/>
      <c r="X74" s="2"/>
      <c r="AE74"/>
      <c r="AF74"/>
    </row>
    <row r="75" spans="16:32" ht="33" customHeight="1" x14ac:dyDescent="0.3">
      <c r="W75" s="2"/>
      <c r="X75" s="2"/>
      <c r="AE75"/>
      <c r="AF75"/>
    </row>
    <row r="76" spans="16:32" ht="33" customHeight="1" x14ac:dyDescent="0.3">
      <c r="W76" s="2"/>
      <c r="X76" s="2"/>
      <c r="AE76"/>
      <c r="AF76"/>
    </row>
    <row r="77" spans="16:32" ht="33" customHeight="1" x14ac:dyDescent="0.3">
      <c r="W77" s="2"/>
      <c r="X77" s="2"/>
      <c r="AE77"/>
      <c r="AF77"/>
    </row>
    <row r="78" spans="16:32" ht="33" customHeight="1" x14ac:dyDescent="0.3">
      <c r="W78" s="2"/>
      <c r="X78" s="2"/>
      <c r="AE78"/>
      <c r="AF78"/>
    </row>
    <row r="79" spans="16:32" ht="33" customHeight="1" x14ac:dyDescent="0.3">
      <c r="W79" s="2"/>
      <c r="X79" s="2"/>
      <c r="AE79"/>
      <c r="AF79"/>
    </row>
    <row r="80" spans="16:32" ht="33" customHeight="1" x14ac:dyDescent="0.3">
      <c r="W80" s="2"/>
      <c r="X80" s="2"/>
      <c r="AE80"/>
      <c r="AF80"/>
    </row>
    <row r="81" spans="23:32" ht="33" customHeight="1" x14ac:dyDescent="0.3">
      <c r="W81" s="2"/>
      <c r="X81" s="2"/>
      <c r="AE81"/>
      <c r="AF81"/>
    </row>
    <row r="82" spans="23:32" ht="33" customHeight="1" x14ac:dyDescent="0.3">
      <c r="W82" s="2"/>
      <c r="X82" s="2"/>
      <c r="AE82"/>
      <c r="AF82"/>
    </row>
    <row r="83" spans="23:32" ht="33" customHeight="1" x14ac:dyDescent="0.3">
      <c r="W83" s="2"/>
      <c r="X83" s="2"/>
      <c r="AE83"/>
      <c r="AF83"/>
    </row>
    <row r="84" spans="23:32" ht="33" customHeight="1" x14ac:dyDescent="0.3">
      <c r="W84" s="2"/>
      <c r="X84" s="2"/>
      <c r="AE84"/>
      <c r="AF84"/>
    </row>
    <row r="85" spans="23:32" ht="33" customHeight="1" x14ac:dyDescent="0.3">
      <c r="W85" s="2"/>
      <c r="X85" s="2"/>
      <c r="AE85"/>
      <c r="AF85"/>
    </row>
    <row r="86" spans="23:32" ht="33" customHeight="1" x14ac:dyDescent="0.3">
      <c r="W86" s="2"/>
      <c r="X86" s="2"/>
      <c r="AE86"/>
      <c r="AF86"/>
    </row>
    <row r="87" spans="23:32" ht="33" customHeight="1" x14ac:dyDescent="0.3">
      <c r="W87" s="2"/>
      <c r="X87" s="2"/>
      <c r="AE87"/>
      <c r="AF87"/>
    </row>
    <row r="88" spans="23:32" ht="33" customHeight="1" x14ac:dyDescent="0.3">
      <c r="W88" s="2"/>
      <c r="X88" s="2"/>
      <c r="AE88"/>
      <c r="AF88"/>
    </row>
    <row r="89" spans="23:32" ht="33" customHeight="1" x14ac:dyDescent="0.3"/>
    <row r="90" spans="23:32" ht="33" customHeight="1" x14ac:dyDescent="0.3"/>
    <row r="91" spans="23:32" ht="33" customHeight="1" x14ac:dyDescent="0.3"/>
    <row r="92" spans="23:32" ht="33" customHeight="1" x14ac:dyDescent="0.3"/>
    <row r="93" spans="23:32" ht="33" customHeight="1" x14ac:dyDescent="0.3"/>
    <row r="94" spans="23:32" ht="33" customHeight="1" x14ac:dyDescent="0.3"/>
    <row r="95" spans="23:32" ht="33" customHeight="1" x14ac:dyDescent="0.3"/>
    <row r="96" spans="23:32" ht="33" customHeight="1" x14ac:dyDescent="0.3"/>
    <row r="97" ht="33" customHeight="1" x14ac:dyDescent="0.3"/>
    <row r="98" ht="33" customHeight="1" x14ac:dyDescent="0.3"/>
    <row r="99" ht="33" customHeight="1" x14ac:dyDescent="0.3"/>
    <row r="100" ht="33" customHeight="1" x14ac:dyDescent="0.3"/>
    <row r="101" ht="33" customHeight="1" x14ac:dyDescent="0.3"/>
    <row r="102" ht="33" customHeight="1" x14ac:dyDescent="0.3"/>
    <row r="103" ht="33" customHeight="1" x14ac:dyDescent="0.3"/>
    <row r="104" ht="33" customHeight="1" x14ac:dyDescent="0.3"/>
    <row r="105" ht="33" customHeight="1" x14ac:dyDescent="0.3"/>
    <row r="106" ht="33" customHeight="1" x14ac:dyDescent="0.3"/>
    <row r="107" ht="33" customHeight="1" x14ac:dyDescent="0.3"/>
    <row r="108" ht="33" customHeight="1" x14ac:dyDescent="0.3"/>
    <row r="109" ht="33" customHeight="1" x14ac:dyDescent="0.3"/>
    <row r="110" ht="33" customHeight="1" x14ac:dyDescent="0.3"/>
    <row r="111" ht="33" customHeight="1" x14ac:dyDescent="0.3"/>
    <row r="112" ht="33" customHeight="1" x14ac:dyDescent="0.3"/>
  </sheetData>
  <sheetProtection algorithmName="SHA-512" hashValue="yPWO3EurMvfG3fBUMjmxhhHS5eibP3ZKeppoU0QjdFYL/EfoBCJ2mfvibTtk2f7zzx7QO4K1fPAfXuK3t0tsXw==" saltValue="qL8/Of3RZFU4V/lGvQMcpQ==" spinCount="100000" sheet="1" objects="1" scenarios="1"/>
  <mergeCells count="55">
    <mergeCell ref="P25:T25"/>
    <mergeCell ref="Q26:R26"/>
    <mergeCell ref="S26:T26"/>
    <mergeCell ref="P48:T48"/>
    <mergeCell ref="Q49:R49"/>
    <mergeCell ref="S49:T49"/>
    <mergeCell ref="V19:AB19"/>
    <mergeCell ref="B20:E20"/>
    <mergeCell ref="U20:U23"/>
    <mergeCell ref="W20:Y20"/>
    <mergeCell ref="Z20:AB20"/>
    <mergeCell ref="B21:E21"/>
    <mergeCell ref="B22:E22"/>
    <mergeCell ref="B23:E23"/>
    <mergeCell ref="Z23:AB23"/>
    <mergeCell ref="B19:E19"/>
    <mergeCell ref="B15:C15"/>
    <mergeCell ref="K15:K17"/>
    <mergeCell ref="B16:C16"/>
    <mergeCell ref="B17:C17"/>
    <mergeCell ref="B18:E18"/>
    <mergeCell ref="B9:B10"/>
    <mergeCell ref="B11:C11"/>
    <mergeCell ref="K11:K13"/>
    <mergeCell ref="B12:C12"/>
    <mergeCell ref="B13:C13"/>
    <mergeCell ref="B14:C14"/>
    <mergeCell ref="Z4:AB4"/>
    <mergeCell ref="B6:B8"/>
    <mergeCell ref="K6:K8"/>
    <mergeCell ref="H7:H8"/>
    <mergeCell ref="I7:I8"/>
    <mergeCell ref="J7:J8"/>
    <mergeCell ref="L1:L4"/>
    <mergeCell ref="M1:O1"/>
    <mergeCell ref="P1:S1"/>
    <mergeCell ref="W1:Y1"/>
    <mergeCell ref="Z1:AB1"/>
    <mergeCell ref="B2:D2"/>
    <mergeCell ref="N2:O2"/>
    <mergeCell ref="Q2:R2"/>
    <mergeCell ref="B3:B5"/>
    <mergeCell ref="M3:N3"/>
    <mergeCell ref="P3:Q3"/>
    <mergeCell ref="X3:Y3"/>
    <mergeCell ref="M4:O4"/>
    <mergeCell ref="P4:R4"/>
    <mergeCell ref="X4:Y4"/>
    <mergeCell ref="S2:S4"/>
    <mergeCell ref="K1:K3"/>
    <mergeCell ref="B1:D1"/>
    <mergeCell ref="G1:G3"/>
    <mergeCell ref="H1:H3"/>
    <mergeCell ref="I1:I3"/>
    <mergeCell ref="J1:J3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EFC4-8CCA-D344-AF5F-1B1F8FDE4DA4}">
  <sheetPr codeName="Sheet4"/>
  <dimension ref="B1:AF112"/>
  <sheetViews>
    <sheetView showGridLines="0" zoomScale="70" zoomScaleNormal="70" zoomScaleSheetLayoutView="100" workbookViewId="0">
      <selection activeCell="T7" sqref="T7"/>
    </sheetView>
  </sheetViews>
  <sheetFormatPr defaultColWidth="8.875" defaultRowHeight="16.5" x14ac:dyDescent="0.3"/>
  <cols>
    <col min="1" max="1" width="3.625" customWidth="1"/>
    <col min="2" max="5" width="12.625" style="1" customWidth="1"/>
    <col min="6" max="6" width="8.875" style="1"/>
    <col min="7" max="7" width="14.375" bestFit="1" customWidth="1"/>
    <col min="8" max="8" width="15.625" customWidth="1"/>
    <col min="9" max="12" width="10.625" customWidth="1"/>
    <col min="13" max="15" width="12.625" customWidth="1"/>
    <col min="16" max="23" width="15.625" customWidth="1"/>
    <col min="24" max="24" width="10.625" customWidth="1"/>
    <col min="25" max="32" width="10.625" style="2" customWidth="1"/>
  </cols>
  <sheetData>
    <row r="1" spans="2:32" ht="33" customHeight="1" x14ac:dyDescent="0.3">
      <c r="B1" s="239" t="s">
        <v>43</v>
      </c>
      <c r="C1" s="239"/>
      <c r="D1" s="239"/>
      <c r="E1" s="27"/>
      <c r="G1" s="243" t="s">
        <v>15</v>
      </c>
      <c r="H1" s="214" t="s">
        <v>33</v>
      </c>
      <c r="I1" s="216" t="s">
        <v>34</v>
      </c>
      <c r="J1" s="218" t="s">
        <v>35</v>
      </c>
      <c r="K1" s="271" t="s">
        <v>0</v>
      </c>
      <c r="L1" s="305" t="s">
        <v>14</v>
      </c>
      <c r="M1" s="306" t="s">
        <v>1</v>
      </c>
      <c r="N1" s="306"/>
      <c r="O1" s="307"/>
      <c r="P1" s="308" t="s">
        <v>29</v>
      </c>
      <c r="Q1" s="309"/>
      <c r="R1" s="309"/>
      <c r="S1" s="310"/>
      <c r="T1" s="115"/>
      <c r="U1" s="1"/>
      <c r="V1" s="1"/>
      <c r="W1" s="1"/>
      <c r="X1" s="105"/>
      <c r="Y1" s="311" t="s">
        <v>45</v>
      </c>
      <c r="Z1" s="312"/>
      <c r="AA1" s="313"/>
      <c r="AB1" s="311" t="s">
        <v>46</v>
      </c>
      <c r="AC1" s="312"/>
      <c r="AD1" s="314"/>
      <c r="AF1"/>
    </row>
    <row r="2" spans="2:32" ht="33" customHeight="1" thickBot="1" x14ac:dyDescent="0.35">
      <c r="B2" s="237" t="s">
        <v>116</v>
      </c>
      <c r="C2" s="238"/>
      <c r="D2" s="238"/>
      <c r="E2" s="35"/>
      <c r="G2" s="244"/>
      <c r="H2" s="215"/>
      <c r="I2" s="217"/>
      <c r="J2" s="219"/>
      <c r="K2" s="272"/>
      <c r="L2" s="359"/>
      <c r="M2" s="12" t="s">
        <v>28</v>
      </c>
      <c r="N2" s="280"/>
      <c r="O2" s="316"/>
      <c r="P2" s="12" t="s">
        <v>28</v>
      </c>
      <c r="Q2" s="280"/>
      <c r="R2" s="316"/>
      <c r="S2" s="290" t="s">
        <v>36</v>
      </c>
      <c r="T2" s="1"/>
      <c r="U2" s="1"/>
      <c r="V2" s="1"/>
      <c r="W2" s="19" t="s">
        <v>47</v>
      </c>
      <c r="X2" s="56">
        <v>4</v>
      </c>
      <c r="Y2" s="56">
        <v>5</v>
      </c>
      <c r="Z2" s="56">
        <v>6</v>
      </c>
      <c r="AA2" s="56">
        <v>4</v>
      </c>
      <c r="AB2" s="56">
        <v>5</v>
      </c>
      <c r="AC2" s="57">
        <v>6</v>
      </c>
      <c r="AE2"/>
      <c r="AF2"/>
    </row>
    <row r="3" spans="2:32" ht="33" customHeight="1" x14ac:dyDescent="0.3">
      <c r="B3" s="209" t="s">
        <v>2</v>
      </c>
      <c r="C3" s="21" t="s">
        <v>3</v>
      </c>
      <c r="D3" s="6">
        <v>8003</v>
      </c>
      <c r="G3" s="274"/>
      <c r="H3" s="275"/>
      <c r="I3" s="276"/>
      <c r="J3" s="277"/>
      <c r="K3" s="273"/>
      <c r="L3" s="359"/>
      <c r="M3" s="279" t="s">
        <v>4</v>
      </c>
      <c r="N3" s="279"/>
      <c r="O3" s="16"/>
      <c r="P3" s="279" t="s">
        <v>4</v>
      </c>
      <c r="Q3" s="279"/>
      <c r="R3" s="16"/>
      <c r="S3" s="291"/>
      <c r="T3" s="1"/>
      <c r="U3" s="1"/>
      <c r="V3" s="1"/>
      <c r="W3" s="19" t="s">
        <v>48</v>
      </c>
      <c r="X3" s="15" t="s">
        <v>50</v>
      </c>
      <c r="Y3" s="280" t="s">
        <v>49</v>
      </c>
      <c r="Z3" s="281"/>
      <c r="AA3" s="17" t="s">
        <v>51</v>
      </c>
      <c r="AB3" s="17" t="s">
        <v>52</v>
      </c>
      <c r="AC3" s="58" t="s">
        <v>53</v>
      </c>
      <c r="AE3"/>
      <c r="AF3"/>
    </row>
    <row r="4" spans="2:32" ht="33" customHeight="1" thickBot="1" x14ac:dyDescent="0.35">
      <c r="B4" s="210"/>
      <c r="C4" s="22" t="s">
        <v>5</v>
      </c>
      <c r="D4" s="7">
        <v>770</v>
      </c>
      <c r="G4" s="65" t="s">
        <v>94</v>
      </c>
      <c r="H4" s="103"/>
      <c r="I4" s="103"/>
      <c r="J4" s="104"/>
      <c r="K4" s="80">
        <v>30</v>
      </c>
      <c r="L4" s="360"/>
      <c r="M4" s="283" t="s">
        <v>114</v>
      </c>
      <c r="N4" s="283"/>
      <c r="O4" s="284"/>
      <c r="P4" s="285" t="s">
        <v>114</v>
      </c>
      <c r="Q4" s="286"/>
      <c r="R4" s="287"/>
      <c r="S4" s="292"/>
      <c r="T4" s="1"/>
      <c r="U4" s="1"/>
      <c r="V4" s="1"/>
      <c r="W4" s="20" t="s">
        <v>56</v>
      </c>
      <c r="X4" s="45" t="s">
        <v>54</v>
      </c>
      <c r="Y4" s="288" t="s">
        <v>55</v>
      </c>
      <c r="Z4" s="289"/>
      <c r="AA4" s="295" t="str">
        <f>"8 / 12"</f>
        <v>8 / 12</v>
      </c>
      <c r="AB4" s="296"/>
      <c r="AC4" s="297"/>
      <c r="AE4"/>
      <c r="AF4"/>
    </row>
    <row r="5" spans="2:32" ht="33" customHeight="1" thickBot="1" x14ac:dyDescent="0.35">
      <c r="B5" s="211"/>
      <c r="C5" s="23" t="s">
        <v>6</v>
      </c>
      <c r="D5" s="14">
        <v>30410</v>
      </c>
      <c r="G5" s="66" t="s">
        <v>23</v>
      </c>
      <c r="H5" s="30">
        <v>332933649555396</v>
      </c>
      <c r="I5" s="10">
        <v>403</v>
      </c>
      <c r="J5" s="18">
        <f>H5/$H$23</f>
        <v>0.2354062546165801</v>
      </c>
      <c r="K5" s="81">
        <v>30</v>
      </c>
      <c r="L5" s="77">
        <f>2.2*(350+6*$K$5)*11</f>
        <v>12826</v>
      </c>
      <c r="M5" s="37">
        <v>0</v>
      </c>
      <c r="N5" s="38">
        <f>ROUNDDOWN(I5/89*(65+3-24+ROUNDUP($K$4/2,0)),0)</f>
        <v>267</v>
      </c>
      <c r="O5" s="39">
        <f>I5-M5-N5</f>
        <v>136</v>
      </c>
      <c r="P5" s="120">
        <f t="shared" ref="P5:P22" si="0">(ROUNDDOWN($D$3*($D$4+100)/100+$D$5,0)*4+ROUNDDOWN($D$6*($D$7+100)/100+$D$8,0))*0.01*ROUNDDOWN(($D$9+100)*($D$10+100)/100,0)*($D$11+135)/100*0.955*1.24*(1.25*1.2*1.25*1.23*1.1)*(1.1*(134+ROUNDDOWN($K$4/5,0))/100*1.06)*1.2*$L5/100*M5*0.01</f>
        <v>0</v>
      </c>
      <c r="Q5" s="116">
        <f>(ROUNDDOWN($D$3*($D$4+100)/100+$D$5,0)*4+ROUNDDOWN($D$6*($D$7+100)/100+$D$8,0))*0.01*ROUNDDOWN(($D$9+100)*($D$10+100)/100,0)*($D$11+135)/100*0.955*1.24*(1.25*1.2*1.25*1.23*1.1)*((134+ROUNDDOWN($K$4/5,0))/100*1.06)*1.2*$L5/100*N5*0.01*(1-(3.8*0.8*0.8*0.91*(100-$D$12)/100))</f>
        <v>252391238489.69437</v>
      </c>
      <c r="R5" s="117">
        <f>(ROUNDDOWN($D$3*($D$4+100)/100+$D$5,0)*4+ROUNDDOWN($D$6*($D$7+100)/100+$D$8,0))*0.01*ROUNDDOWN(($D$9+100)*($D$10+100)/100,0)*($D$11+135)/100*0.955*1.24*(1.25*1.2*1.25*1.23*1.1)*(1.06)*1.2*$L5/100*O5*0.01*(1-(3.8*0.8*0.8*0.91*(100-$D$12)/100))</f>
        <v>91827737920.274048</v>
      </c>
      <c r="S5" s="67">
        <f t="shared" ref="S5:S22" si="1">SUM(P5:R5)</f>
        <v>344218976409.96838</v>
      </c>
      <c r="T5" s="3">
        <f>H5/S5</f>
        <v>967.21468708008865</v>
      </c>
      <c r="U5" s="3"/>
      <c r="V5" s="3"/>
      <c r="W5" s="2"/>
      <c r="X5" s="2"/>
      <c r="AE5"/>
      <c r="AF5"/>
    </row>
    <row r="6" spans="2:32" ht="33" customHeight="1" thickTop="1" x14ac:dyDescent="0.3">
      <c r="B6" s="212" t="s">
        <v>7</v>
      </c>
      <c r="C6" s="24" t="s">
        <v>3</v>
      </c>
      <c r="D6" s="13">
        <v>4026</v>
      </c>
      <c r="G6" s="68" t="s">
        <v>30</v>
      </c>
      <c r="H6" s="31">
        <v>48408403737963</v>
      </c>
      <c r="I6" s="4">
        <v>164</v>
      </c>
      <c r="J6" s="18">
        <f>H6/$H$23</f>
        <v>3.4227964133811691E-2</v>
      </c>
      <c r="K6" s="298">
        <v>30</v>
      </c>
      <c r="L6" s="78">
        <f>2.2*(243+8*$K$6)*4</f>
        <v>4250.4000000000005</v>
      </c>
      <c r="M6" s="40">
        <f>ROUNDDOWN(I6/113*24,0)</f>
        <v>34</v>
      </c>
      <c r="N6" s="36">
        <f>ROUNDDOWN(I6/113*(65+3-24+ROUNDUP($K$4/2,0)),0)</f>
        <v>85</v>
      </c>
      <c r="O6" s="41">
        <f>I6-M6-N6</f>
        <v>45</v>
      </c>
      <c r="P6" s="33">
        <f t="shared" si="0"/>
        <v>12232926316.870516</v>
      </c>
      <c r="Q6" s="34">
        <f>(ROUNDDOWN($D$3*($D$4+100)/100+$D$5,0)*4+ROUNDDOWN($D$6*($D$7+100)/100+$D$8,0))*0.01*ROUNDDOWN(($D$9+100)*($D$10+100)/100,0)*($D$11+135)/100*0.955*1.24*(1.25*1.2*1.25*1.23*1.1)*((134+ROUNDDOWN($K$4/5,0))/100*1.06)*1.2*$L6/100*N6*0.01*(1-(3.8*0.8*0.91*(100-$D$12)/100))</f>
        <v>26333090955.084995</v>
      </c>
      <c r="R6" s="118">
        <f>(ROUNDDOWN($D$3*($D$4+100)/100+$D$5,0)*4+ROUNDDOWN($D$6*($D$7+100)/100+$D$8,0))*0.01*ROUNDDOWN(($D$9+100)*($D$10+100)/100,0)*($D$11+135)/100*0.955*1.24*(1.25*1.2*1.25*1.23*1.1)*(1.06)*1.2*$L6/100*O6*0.01*(1-(3.8*0.8*0.91*(100-$D$12)/100))</f>
        <v>9957891537.6371822</v>
      </c>
      <c r="S6" s="67">
        <f t="shared" si="1"/>
        <v>48523908809.592697</v>
      </c>
      <c r="T6" s="3">
        <f>H6/S6</f>
        <v>997.61962557297397</v>
      </c>
      <c r="U6" s="3"/>
      <c r="V6" s="3"/>
      <c r="W6" s="2" t="s">
        <v>37</v>
      </c>
      <c r="X6" s="2"/>
      <c r="AE6"/>
      <c r="AF6"/>
    </row>
    <row r="7" spans="2:32" ht="33" customHeight="1" x14ac:dyDescent="0.3">
      <c r="B7" s="210"/>
      <c r="C7" s="22" t="s">
        <v>5</v>
      </c>
      <c r="D7" s="7">
        <v>240</v>
      </c>
      <c r="G7" s="68" t="s">
        <v>31</v>
      </c>
      <c r="H7" s="361">
        <v>95781563884265</v>
      </c>
      <c r="I7" s="362">
        <v>71</v>
      </c>
      <c r="J7" s="301">
        <f>H7/$H$23</f>
        <v>6.7723942129081435E-2</v>
      </c>
      <c r="K7" s="298"/>
      <c r="L7" s="78">
        <f>2.2*(890+27*$K$6)*10</f>
        <v>37400.000000000007</v>
      </c>
      <c r="M7" s="40">
        <v>6</v>
      </c>
      <c r="N7" s="36">
        <f>ROUNDDOWN(($I$7-5*ROUNDDOWN(I7/8+1,0))/113*(65+3-24+ROUNDUP($K$4/2,0)),0)</f>
        <v>13</v>
      </c>
      <c r="O7" s="41">
        <f>I7-5*ROUNDDOWN(I7/8+1,0)-M7-N7</f>
        <v>7</v>
      </c>
      <c r="P7" s="33">
        <f t="shared" si="0"/>
        <v>18995227200.109497</v>
      </c>
      <c r="Q7" s="34">
        <f>(ROUNDDOWN($D$3*($D$4+100)/100+$D$5,0)*4+ROUNDDOWN($D$6*($D$7+100)/100+$D$8,0))*0.01*ROUNDDOWN(($D$9+100)*($D$10+100)/100,0)*($D$11+135)/100*0.955*1.24*(1.25*1.2*1.25*1.23*1.1)*((134+ROUNDDOWN($K$4/5,0))/100*1.06)*1.2*$L7/100*N7*0.01*(1-(3.8*0.8*0.91*(100-$D$12)/100))</f>
        <v>35437907082.412521</v>
      </c>
      <c r="R7" s="118">
        <f>(ROUNDDOWN($D$3*($D$4+100)/100+$D$5,0)*4+ROUNDDOWN($D$6*($D$7+100)/100+$D$8,0))*0.01*ROUNDDOWN(($D$9+100)*($D$10+100)/100,0)*($D$11+135)/100*0.955*1.24*(1.25*1.2*1.25*1.23*1.1)*(1.06)*1.2*$L7/100*O7*0.01*(1-(3.8*0.8*0.91*(100-$D$12)/100))</f>
        <v>13629964262.466354</v>
      </c>
      <c r="S7" s="67">
        <f t="shared" si="1"/>
        <v>68063098544.988373</v>
      </c>
      <c r="T7" s="3">
        <f>H7/(S7+S8)</f>
        <v>991.93651210232895</v>
      </c>
      <c r="U7" s="3"/>
      <c r="V7" s="3"/>
      <c r="W7" s="2" t="s">
        <v>38</v>
      </c>
      <c r="X7" s="2"/>
      <c r="AE7"/>
      <c r="AF7"/>
    </row>
    <row r="8" spans="2:32" ht="33" customHeight="1" thickBot="1" x14ac:dyDescent="0.35">
      <c r="B8" s="213"/>
      <c r="C8" s="25" t="s">
        <v>6</v>
      </c>
      <c r="D8" s="9">
        <v>280</v>
      </c>
      <c r="G8" s="68" t="s">
        <v>32</v>
      </c>
      <c r="H8" s="361"/>
      <c r="I8" s="362"/>
      <c r="J8" s="301"/>
      <c r="K8" s="298"/>
      <c r="L8" s="78">
        <f>2.2*(245+9*$K$6)*8*5</f>
        <v>45320</v>
      </c>
      <c r="M8" s="40">
        <v>3</v>
      </c>
      <c r="N8" s="36">
        <v>3</v>
      </c>
      <c r="O8" s="41">
        <f>ROUNDDOWN(I7/8+1,0)-M8-N8</f>
        <v>3</v>
      </c>
      <c r="P8" s="33">
        <f t="shared" si="0"/>
        <v>11508872950.654575</v>
      </c>
      <c r="Q8" s="34">
        <f>(ROUNDDOWN($D$3*($D$4+100)/100+$D$5,0)*4+ROUNDDOWN($D$6*($D$7+100)/100+$D$8,0))*0.01*ROUNDDOWN(($D$9+100)*($D$10+100)/100,0)*($D$11+135)/100*0.955*1.24*(1.25*1.2*1.25*1.23*1.1)*((134+ROUNDDOWN($K$4/5,0))/100*1.06)*1.2*$L8/100*N8*0.01*(1-(3.8*0.8*0.91*(100-$D$12)/100))</f>
        <v>9909785781.4167118</v>
      </c>
      <c r="R8" s="118">
        <f>(ROUNDDOWN($D$3*($D$4+100)/100+$D$5,0)*4+ROUNDDOWN($D$6*($D$7+100)/100+$D$8,0))*0.01*ROUNDDOWN(($D$9+100)*($D$10+100)/100,0)*($D$11+135)/100*0.955*1.24*(1.25*1.2*1.25*1.23*1.1)*(1.06)*1.2*$L8/100*O8*0.01*(1-(3.8*0.8*0.91*(100-$D$12)/100))</f>
        <v>7078418415.2976513</v>
      </c>
      <c r="S8" s="67">
        <f t="shared" si="1"/>
        <v>28497077147.368942</v>
      </c>
      <c r="T8" s="3"/>
      <c r="U8" s="3"/>
      <c r="V8" s="3"/>
      <c r="W8" s="2" t="s">
        <v>39</v>
      </c>
      <c r="X8" s="2"/>
      <c r="AE8"/>
      <c r="AF8"/>
    </row>
    <row r="9" spans="2:32" ht="33" customHeight="1" thickTop="1" x14ac:dyDescent="0.3">
      <c r="B9" s="223" t="s">
        <v>8</v>
      </c>
      <c r="C9" s="28" t="s">
        <v>3</v>
      </c>
      <c r="D9" s="11">
        <v>4496</v>
      </c>
      <c r="G9" s="68" t="s">
        <v>9</v>
      </c>
      <c r="H9" s="31">
        <v>114402009765233</v>
      </c>
      <c r="I9" s="4">
        <v>32</v>
      </c>
      <c r="J9" s="18">
        <f>H9/$H$23</f>
        <v>8.0889836985257771E-2</v>
      </c>
      <c r="K9" s="82">
        <v>30</v>
      </c>
      <c r="L9" s="78">
        <f>((10+K9+5*ROUNDDOWN(LOG(K9),0)+5*ROUNDDOWN(LOG(K9,20),0)+10*ROUNDDOWN(LOG(K9,30),0)+100)/100)*2000*15</f>
        <v>48000</v>
      </c>
      <c r="M9" s="40">
        <v>8</v>
      </c>
      <c r="N9" s="36">
        <f>ROUNDDOWN($I$9/113*(65+3-24+ROUNDUP($K$4/2,0)),0)</f>
        <v>16</v>
      </c>
      <c r="O9" s="41">
        <f>I9-M9-N9</f>
        <v>8</v>
      </c>
      <c r="P9" s="33">
        <f t="shared" si="0"/>
        <v>32505201625.85582</v>
      </c>
      <c r="Q9" s="34">
        <f>(ROUNDDOWN($D$3*($D$4+100)/100+$D$5,0)*4+ROUNDDOWN($D$6*($D$7+100)/100+$D$8,0))*0.01*ROUNDDOWN(($D$9+100)*($D$10+100)/100,0)*($D$11+135)/100*0.955*1.24*(1.25*1.2*1.25*1.23*1.1)*((134+ROUNDDOWN($K$4/5,0))/100*1.06)*1.2*$L9/100*N9*0.01*(1-(3.8*0.91*(100-$D$12)/100))</f>
        <v>55196917399.839317</v>
      </c>
      <c r="R9" s="118">
        <f>(ROUNDDOWN($D$3*($D$4+100)/100+$D$5,0)*4+ROUNDDOWN($D$6*($D$7+100)/100+$D$8,0))*0.01*ROUNDDOWN(($D$9+100)*($D$10+100)/100,0)*($D$11+135)/100*0.955*1.24*(1.25*1.2*1.25*1.23*1.1)*(1.06)*1.2*$L9/100*O9*0.01*(1-(3.8*0.91*(100-$D$12)/100))</f>
        <v>19713184785.656898</v>
      </c>
      <c r="S9" s="67">
        <f t="shared" si="1"/>
        <v>107415303811.35202</v>
      </c>
      <c r="T9" s="3">
        <f t="shared" ref="T9:T22" si="2">H9/S9</f>
        <v>1065.0438597292559</v>
      </c>
      <c r="U9" s="3"/>
      <c r="V9" s="3"/>
      <c r="W9" s="2" t="s">
        <v>40</v>
      </c>
      <c r="X9" s="2"/>
      <c r="AE9"/>
      <c r="AF9"/>
    </row>
    <row r="10" spans="2:32" ht="33" customHeight="1" thickBot="1" x14ac:dyDescent="0.35">
      <c r="B10" s="213"/>
      <c r="C10" s="25" t="s">
        <v>5</v>
      </c>
      <c r="D10" s="9">
        <v>144</v>
      </c>
      <c r="G10" s="69" t="s">
        <v>19</v>
      </c>
      <c r="H10" s="32">
        <v>54472061651238</v>
      </c>
      <c r="I10" s="17">
        <v>6</v>
      </c>
      <c r="J10" s="18">
        <f t="shared" ref="J10:J23" si="3">H10/$H$23</f>
        <v>3.8515373954196186E-2</v>
      </c>
      <c r="K10" s="82">
        <v>30</v>
      </c>
      <c r="L10" s="78">
        <f>(680+24*$K$10)*10*8</f>
        <v>112000</v>
      </c>
      <c r="M10" s="40">
        <v>3</v>
      </c>
      <c r="N10" s="36">
        <v>3</v>
      </c>
      <c r="O10" s="41">
        <v>0</v>
      </c>
      <c r="P10" s="33">
        <f t="shared" si="0"/>
        <v>28442051422.623848</v>
      </c>
      <c r="Q10" s="34">
        <f>(ROUNDDOWN($D$3*($D$4+100)/100+$D$5,0)*4+ROUNDDOWN($D$6*($D$7+100)/100+$D$8,0))*0.01*ROUNDDOWN(($D$9+100)*($D$10+100)/100,0)*($D$11+135)/100*0.955*1.24*(1.25*1.2*1.25*1.23*1.1)*((134+ROUNDDOWN($K$4/5,0))/100*1.06)*1.2*$L10/100*N10*0.01*(1-(3.8*0.91*(100-$D$12)/100))</f>
        <v>24148651362.429703</v>
      </c>
      <c r="R10" s="118">
        <f>(ROUNDDOWN($D$3*($D$4+100)/100+$D$5,0)*4+ROUNDDOWN($D$6*($D$7+100)/100+$D$8,0))*0.01*ROUNDDOWN(($D$9+100)*($D$10+100)/100,0)*($D$11+135)/100*0.955*1.24*(1.25*1.2*1.25*1.23*1.1)*(1.06)*1.2*$L10/100*O10*0.01*(1-(3.8*0.91*(100-$D$12)/100))</f>
        <v>0</v>
      </c>
      <c r="S10" s="67">
        <f t="shared" si="1"/>
        <v>52590702785.053551</v>
      </c>
      <c r="T10" s="3">
        <f t="shared" si="2"/>
        <v>1035.7736019211202</v>
      </c>
      <c r="U10" s="3"/>
      <c r="V10" s="3"/>
      <c r="W10" s="2" t="s">
        <v>41</v>
      </c>
      <c r="X10" s="2"/>
      <c r="AE10"/>
      <c r="AF10"/>
    </row>
    <row r="11" spans="2:32" ht="33" customHeight="1" thickTop="1" x14ac:dyDescent="0.3">
      <c r="B11" s="224" t="s">
        <v>10</v>
      </c>
      <c r="C11" s="225"/>
      <c r="D11" s="11">
        <v>174.75</v>
      </c>
      <c r="G11" s="68" t="s">
        <v>13</v>
      </c>
      <c r="H11" s="31">
        <v>61032991155036</v>
      </c>
      <c r="I11" s="4">
        <v>55</v>
      </c>
      <c r="J11" s="18">
        <f t="shared" si="3"/>
        <v>4.3154387893925707E-2</v>
      </c>
      <c r="K11" s="298">
        <v>30</v>
      </c>
      <c r="L11" s="78">
        <f>2.2*(645+24*$K$11)*5</f>
        <v>15015.000000000002</v>
      </c>
      <c r="M11" s="40">
        <f>$M$12</f>
        <v>22</v>
      </c>
      <c r="N11" s="36">
        <f>ROUNDDOWN(($I$11-$M$11)/113*(65+3-24+ROUNDUP($K$4/2,0)),0)</f>
        <v>17</v>
      </c>
      <c r="O11" s="41">
        <f>I11-M11-N11</f>
        <v>16</v>
      </c>
      <c r="P11" s="33">
        <f t="shared" si="0"/>
        <v>27962091804.867069</v>
      </c>
      <c r="Q11" s="34">
        <f>(ROUNDDOWN($D$3*($D$4+100)/100+$D$5,0)*4+ROUNDDOWN($D$6*($D$7+100)/100+$D$8,0))*0.01*ROUNDDOWN(($D$9+100)*($D$10+100)/100,0)*($D$11+135)/100*0.955*1.24*(1.25*1.2*1.25*1.23*1.1)*((134+ROUNDDOWN($K$4/5,0))/100*1.06)*1.2*$L11/100*N11*0.01*(1-(3.8*0.8*0.91*0.91*(100-$D$12)/100))</f>
        <v>18698311367.360043</v>
      </c>
      <c r="R11" s="118">
        <f>(ROUNDDOWN($D$3*($D$4+100)/100+$D$5,0)*4+ROUNDDOWN($D$6*($D$7+100)/100+$D$8,0))*0.01*ROUNDDOWN(($D$9+100)*($D$10+100)/100,0)*($D$11+135)/100*0.955*1.24*(1.25*1.2*1.25*1.23*1.1)*(1.06)*1.2*$L11/100*O11*0.01*(1-(3.8*0.8*0.91*0.91*(100-$D$12)/100))</f>
        <v>12570293356.208435</v>
      </c>
      <c r="S11" s="67">
        <f t="shared" si="1"/>
        <v>59230696528.435547</v>
      </c>
      <c r="T11" s="3">
        <f t="shared" si="2"/>
        <v>1030.4283881877905</v>
      </c>
      <c r="U11" s="3"/>
      <c r="V11" s="3"/>
      <c r="X11" s="2"/>
      <c r="AF11"/>
    </row>
    <row r="12" spans="2:32" ht="33" customHeight="1" x14ac:dyDescent="0.3">
      <c r="B12" s="226" t="s">
        <v>11</v>
      </c>
      <c r="C12" s="227"/>
      <c r="D12" s="7">
        <v>98.09</v>
      </c>
      <c r="G12" s="68" t="s">
        <v>22</v>
      </c>
      <c r="H12" s="31">
        <v>42552360893169</v>
      </c>
      <c r="I12" s="4">
        <v>22</v>
      </c>
      <c r="J12" s="18">
        <f t="shared" si="3"/>
        <v>3.0087351988394396E-2</v>
      </c>
      <c r="K12" s="298"/>
      <c r="L12" s="78">
        <f>2.2*(745+28*$K$11)*6</f>
        <v>20922.000000000004</v>
      </c>
      <c r="M12" s="40">
        <f>I12</f>
        <v>22</v>
      </c>
      <c r="N12" s="36">
        <v>0</v>
      </c>
      <c r="O12" s="41">
        <v>0</v>
      </c>
      <c r="P12" s="33">
        <f t="shared" si="0"/>
        <v>38962563086.342255</v>
      </c>
      <c r="Q12" s="34">
        <f>(ROUNDDOWN($D$3*($D$4+100)/100+$D$5,0)*4+ROUNDDOWN($D$6*($D$7+100)/100+$D$8,0))*0.01*ROUNDDOWN(($D$9+100)*($D$10+100)/100,0)*($D$11+135)/100*0.955*1.24*(1.25*1.2*1.25*1.23*1.1)*((134+ROUNDDOWN($K$4/5,0))/100*1.06)*1.2*$L12/100*N12*0.01*(1-(3.8*0.84*0.8*0.91*(100-$D$12)/100))</f>
        <v>0</v>
      </c>
      <c r="R12" s="118">
        <f>(ROUNDDOWN($D$3*($D$4+100)/100+$D$5,0)*4+ROUNDDOWN($D$6*($D$7+100)/100+$D$8,0))*0.01*ROUNDDOWN(($D$9+100)*($D$10+100)/100,0)*($D$11+135)/100*0.955*1.24*(1.25*1.2*1.25*1.23*1.1)*(1.06)*1.2*$L12/100*O12*0.01*(1-(3.8*0.84*0.8*0.91*(100-$D$12)/100))</f>
        <v>0</v>
      </c>
      <c r="S12" s="67">
        <f t="shared" si="1"/>
        <v>38962563086.342255</v>
      </c>
      <c r="T12" s="3">
        <f t="shared" si="2"/>
        <v>1092.1345394775915</v>
      </c>
      <c r="U12" s="3"/>
      <c r="V12" s="3"/>
      <c r="X12" s="2"/>
      <c r="AF12"/>
    </row>
    <row r="13" spans="2:32" ht="33" customHeight="1" thickBot="1" x14ac:dyDescent="0.35">
      <c r="B13" s="363" t="s">
        <v>42</v>
      </c>
      <c r="C13" s="364"/>
      <c r="D13" s="8">
        <f>600+101+14</f>
        <v>715</v>
      </c>
      <c r="E13" s="46"/>
      <c r="F13"/>
      <c r="G13" s="68" t="s">
        <v>17</v>
      </c>
      <c r="H13" s="31">
        <v>74954215911167</v>
      </c>
      <c r="I13" s="4">
        <v>543</v>
      </c>
      <c r="J13" s="18">
        <f t="shared" si="3"/>
        <v>5.299762057374871E-2</v>
      </c>
      <c r="K13" s="298"/>
      <c r="L13" s="78">
        <f>2.2*(102+4*$K$11)*4</f>
        <v>1953.6000000000001</v>
      </c>
      <c r="M13" s="40">
        <f>ROUNDDOWN(I13/113*24,0)</f>
        <v>115</v>
      </c>
      <c r="N13" s="36">
        <f>ROUNDDOWN(I13/113*(65+3-24+ROUNDUP($K$4/2,0)),0)</f>
        <v>283</v>
      </c>
      <c r="O13" s="41">
        <f>I13-M13-N13</f>
        <v>145</v>
      </c>
      <c r="P13" s="33">
        <f t="shared" si="0"/>
        <v>19017574526.227272</v>
      </c>
      <c r="Q13" s="34">
        <f>(ROUNDDOWN($D$3*($D$4+100)/100+$D$5,0)*4+ROUNDDOWN($D$6*($D$7+100)/100+$D$8,0))*0.01*ROUNDDOWN(($D$9+100)*($D$10+100)/100,0)*($D$11+135)/100*0.955*1.24*(1.25*1.2*1.25*1.23*1.1)*((134+ROUNDDOWN($K$4/5,0))/100*1.06)*1.2*$L13/100*N13*0.01*(1-(3.8*0.8*0.91*(100-$D$12)/100))</f>
        <v>40297229870.762878</v>
      </c>
      <c r="R13" s="118">
        <f>(ROUNDDOWN($D$3*($D$4+100)/100+$D$5,0)*4+ROUNDDOWN($D$6*($D$7+100)/100+$D$8,0))*0.01*ROUNDDOWN(($D$9+100)*($D$10+100)/100,0)*($D$11+135)/100*0.955*1.24*(1.25*1.2*1.25*1.23*1.1)*(1.06)*1.2*$L13/100*O13*0.01*(1-(3.8*0.8*0.91*(100-$D$12)/100))</f>
        <v>14747850407.018213</v>
      </c>
      <c r="S13" s="67">
        <f t="shared" si="1"/>
        <v>74062654804.008362</v>
      </c>
      <c r="T13" s="3">
        <f t="shared" si="2"/>
        <v>1012.037930715797</v>
      </c>
      <c r="U13" s="3"/>
      <c r="V13" s="3"/>
      <c r="X13" s="2"/>
      <c r="AF13"/>
    </row>
    <row r="14" spans="2:32" ht="33" customHeight="1" x14ac:dyDescent="0.3">
      <c r="B14" s="1" t="s">
        <v>103</v>
      </c>
      <c r="D14" s="1">
        <v>95</v>
      </c>
      <c r="G14" s="68" t="s">
        <v>16</v>
      </c>
      <c r="H14" s="31">
        <v>163756149056370</v>
      </c>
      <c r="I14" s="4">
        <v>71</v>
      </c>
      <c r="J14" s="18">
        <f t="shared" si="3"/>
        <v>0.1157864991155854</v>
      </c>
      <c r="K14" s="82">
        <v>30</v>
      </c>
      <c r="L14" s="78">
        <f>2.2*(935+27*$K$14)*9</f>
        <v>34551.000000000007</v>
      </c>
      <c r="M14" s="40">
        <f>ROUNDDOWN(I14/113*24,0)</f>
        <v>15</v>
      </c>
      <c r="N14" s="36">
        <f>ROUNDDOWN(I14/113*(65+3-24+ROUNDUP($K$4/2,0)),0)</f>
        <v>37</v>
      </c>
      <c r="O14" s="41">
        <f>I14-M14-N14</f>
        <v>19</v>
      </c>
      <c r="P14" s="33">
        <f t="shared" si="0"/>
        <v>43870594584.958778</v>
      </c>
      <c r="Q14" s="34">
        <f>(ROUNDDOWN($D$3*($D$4+100)/100+$D$5,0)*4+ROUNDDOWN($D$6*($D$7+100)/100+$D$8,0))*0.01*ROUNDDOWN(($D$9+100)*($D$10+100)/100,0)*($D$11+135)/100*0.955*1.24*(1.25*1.2*1.25*1.23*1.1)*((134+ROUNDDOWN($K$4/5,0))/100*1.06)*1.2*$L14/100*N14*0.01*(1-(3.8*0.84*0.8*0.8*0.91*(100-$D$12)/100))</f>
        <v>94883401734.767944</v>
      </c>
      <c r="R14" s="118">
        <f>(ROUNDDOWN($D$3*($D$4+100)/100+$D$5,0)*4+ROUNDDOWN($D$6*($D$7+100)/100+$D$8,0))*0.01*ROUNDDOWN(($D$9+100)*($D$10+100)/100,0)*($D$11+135)/100*0.955*1.24*(1.25*1.2*1.25*1.23*1.1)*(1.06)*1.2*$L14/100*O14*0.01*(1-(3.8*0.84*0.8*0.8*0.91*(100-$D$12)/100))</f>
        <v>34802792142.096344</v>
      </c>
      <c r="S14" s="67">
        <f t="shared" si="1"/>
        <v>173556788461.82306</v>
      </c>
      <c r="T14" s="3">
        <f t="shared" si="2"/>
        <v>943.53064785127151</v>
      </c>
      <c r="U14" s="3"/>
      <c r="V14" s="3"/>
      <c r="X14" s="2"/>
      <c r="AF14"/>
    </row>
    <row r="15" spans="2:32" ht="33" customHeight="1" x14ac:dyDescent="0.3">
      <c r="B15" s="1" t="s">
        <v>105</v>
      </c>
      <c r="D15" s="1">
        <v>17.5</v>
      </c>
      <c r="G15" s="69" t="s">
        <v>18</v>
      </c>
      <c r="H15" s="32">
        <v>62010000671307</v>
      </c>
      <c r="I15" s="5">
        <v>62</v>
      </c>
      <c r="J15" s="18">
        <f t="shared" si="3"/>
        <v>4.3845198664351735E-2</v>
      </c>
      <c r="K15" s="298">
        <v>30</v>
      </c>
      <c r="L15" s="78">
        <f>((10+$K$15+5*ROUNDDOWN(LOG($K$15),0)+5*ROUNDDOWN(LOG($K$15,20),0)+10*ROUNDDOWN(LOG($K$15,30),0)+100)/100)*1370*5</f>
        <v>10960</v>
      </c>
      <c r="M15" s="40">
        <f>I15</f>
        <v>62</v>
      </c>
      <c r="N15" s="36">
        <v>0</v>
      </c>
      <c r="O15" s="41">
        <v>0</v>
      </c>
      <c r="P15" s="33">
        <f t="shared" si="0"/>
        <v>57520663043.754028</v>
      </c>
      <c r="Q15" s="34">
        <f>(ROUNDDOWN($D$3*($D$4+100)/100+$D$5,0)*4+ROUNDDOWN($D$6*($D$7+100)/100+$D$8,0))*0.01*ROUNDDOWN(($D$9+100)*($D$10+100)/100,0)*($D$11+135)/100*0.955*1.24*(1.25*1.2*1.25*1.23*1.1)*((134+ROUNDDOWN($K$4/5,0))/100*1.06)*1.2*$L15/100*N15*0.01*(1-(3.8*0.91*(100-$D$12)/100))</f>
        <v>0</v>
      </c>
      <c r="R15" s="118">
        <f>(ROUNDDOWN($D$3*($D$4+100)/100+$D$5,0)*4+ROUNDDOWN($D$6*($D$7+100)/100+$D$8,0))*0.01*ROUNDDOWN(($D$9+100)*($D$10+100)/100,0)*($D$11+135)/100*0.955*1.24*(1.25*1.2*1.25*1.23*1.1)*(1.06)*1.2*$L15/100*O15*0.01*(1-(3.8*0.91*(100-$D$12)/100))</f>
        <v>0</v>
      </c>
      <c r="S15" s="67">
        <f t="shared" si="1"/>
        <v>57520663043.754028</v>
      </c>
      <c r="T15" s="3">
        <f t="shared" si="2"/>
        <v>1078.0473901028938</v>
      </c>
      <c r="U15" s="3"/>
      <c r="V15" s="3"/>
      <c r="X15" s="2"/>
      <c r="AF15"/>
    </row>
    <row r="16" spans="2:32" ht="33" customHeight="1" x14ac:dyDescent="0.3">
      <c r="B16" s="1" t="s">
        <v>143</v>
      </c>
      <c r="D16" s="1">
        <v>2</v>
      </c>
      <c r="G16" s="69" t="s">
        <v>21</v>
      </c>
      <c r="H16" s="32">
        <v>119715134498843</v>
      </c>
      <c r="I16" s="5">
        <v>75</v>
      </c>
      <c r="J16" s="18">
        <f t="shared" si="3"/>
        <v>8.4646569882398395E-2</v>
      </c>
      <c r="K16" s="298"/>
      <c r="L16" s="78">
        <f>((10+$K$15+5*ROUNDDOWN(LOG($K$15),0)+5*ROUNDDOWN(LOG($K$15,20),0)+10*ROUNDDOWN(LOG($K$15,30),0)+100)/100)*1210*9</f>
        <v>17424</v>
      </c>
      <c r="M16" s="40">
        <f>I16</f>
        <v>75</v>
      </c>
      <c r="N16" s="36">
        <v>0</v>
      </c>
      <c r="O16" s="41">
        <v>0</v>
      </c>
      <c r="P16" s="33">
        <f t="shared" si="0"/>
        <v>110619264282.99059</v>
      </c>
      <c r="Q16" s="34">
        <f t="shared" ref="Q16" si="4">(ROUNDDOWN($D$3*($D$4+100)/100+$D$5,0)*4+ROUNDDOWN($D$6*($D$7+100)/100+$D$8,0))*0.01*ROUNDDOWN(($D$9+100)*($D$10+100)/100,0)*($D$11+135)/100*0.955*1.24*(1.25*1.2*1.25*1.23*1.1)*((134+ROUNDDOWN($K$4/5,0))/100*1.06)*1.2*$L16/100*N16*0.01*(1-(3.8*0.84*0.91*(100-$D$12)/100))</f>
        <v>0</v>
      </c>
      <c r="R16" s="118">
        <f t="shared" ref="R16" si="5">(ROUNDDOWN($D$3*($D$4+100)/100+$D$5,0)*4+ROUNDDOWN($D$6*($D$7+100)/100+$D$8,0))*0.01*ROUNDDOWN(($D$9+100)*($D$10+100)/100,0)*($D$11+135)/100*0.955*1.24*(1.25*1.2*1.25*1.23*1.1)*(1.06)*1.2*$L16/100*O16*0.01*(1-(3.8*0.84*0.91*(100-$D$12)/100))</f>
        <v>0</v>
      </c>
      <c r="S16" s="67">
        <f t="shared" si="1"/>
        <v>110619264282.99059</v>
      </c>
      <c r="T16" s="3">
        <f t="shared" si="2"/>
        <v>1082.2268189434255</v>
      </c>
      <c r="U16" s="3"/>
      <c r="V16" s="3"/>
      <c r="W16" s="1"/>
      <c r="X16" s="2"/>
      <c r="AF16"/>
    </row>
    <row r="17" spans="2:32" ht="33" customHeight="1" x14ac:dyDescent="0.3">
      <c r="B17" s="222" t="s">
        <v>44</v>
      </c>
      <c r="C17" s="222"/>
      <c r="D17" s="222"/>
      <c r="E17" s="222"/>
      <c r="G17" s="69" t="s">
        <v>27</v>
      </c>
      <c r="H17" s="32">
        <v>64575695777524</v>
      </c>
      <c r="I17" s="17">
        <v>3</v>
      </c>
      <c r="J17" s="18">
        <f t="shared" si="3"/>
        <v>4.5659315910383177E-2</v>
      </c>
      <c r="K17" s="298"/>
      <c r="L17" s="78">
        <f>((10+$K$15+5*ROUNDDOWN(LOG($K$15),0)+5*ROUNDDOWN(LOG($K$15,20),0)+10*ROUNDDOWN(LOG($K$15,30),0)+100)/100)*1370*15*7</f>
        <v>230160</v>
      </c>
      <c r="M17" s="40">
        <f>I17</f>
        <v>3</v>
      </c>
      <c r="N17" s="36">
        <v>0</v>
      </c>
      <c r="O17" s="41">
        <v>0</v>
      </c>
      <c r="P17" s="33">
        <f t="shared" si="0"/>
        <v>58448415673.491997</v>
      </c>
      <c r="Q17" s="34">
        <f t="shared" ref="Q17:Q22" si="6">(ROUNDDOWN($D$3*($D$4+100)/100+$D$5,0)*4+ROUNDDOWN($D$6*($D$7+100)/100+$D$8,0))*0.01*ROUNDDOWN(($D$9+100)*($D$10+100)/100,0)*($D$11+135)/100*0.955*1.24*(1.25*1.2*1.25*1.23*1.1)*((134+ROUNDDOWN($K$4/5,0))/100*1.06)*1.2*$L17/100*N17*0.01*(1-(3.8*0.91*(100-$D$12)/100))</f>
        <v>0</v>
      </c>
      <c r="R17" s="118">
        <f>(ROUNDDOWN($D$3*($D$4+100)/100+$D$5,0)*4+ROUNDDOWN($D$6*($D$7+100)/100+$D$8,0))*0.01*ROUNDDOWN(($D$9+100)*($D$10+100)/100,0)*($D$11+135)/100*0.955*1.24*(1.25*1.2*1.25*1.23*1.1)*(1.06)*1.2*$L17/100*O17*0.01*(1-(3.8*0.91*(100-$D$12)/100))</f>
        <v>0</v>
      </c>
      <c r="S17" s="67">
        <f t="shared" si="1"/>
        <v>58448415673.491997</v>
      </c>
      <c r="T17" s="3">
        <f t="shared" si="2"/>
        <v>1104.8322701895049</v>
      </c>
      <c r="U17" s="3"/>
      <c r="V17" s="3"/>
      <c r="W17" s="1"/>
      <c r="X17" s="2"/>
      <c r="AF17"/>
    </row>
    <row r="18" spans="2:32" s="1" customFormat="1" ht="33" customHeight="1" thickBot="1" x14ac:dyDescent="0.35">
      <c r="B18" s="255" t="s">
        <v>91</v>
      </c>
      <c r="C18" s="255"/>
      <c r="D18" s="255"/>
      <c r="E18" s="255"/>
      <c r="G18" s="68" t="s">
        <v>26</v>
      </c>
      <c r="H18" s="31">
        <v>79853870536259</v>
      </c>
      <c r="I18" s="15">
        <v>1</v>
      </c>
      <c r="J18" s="18">
        <f t="shared" si="3"/>
        <v>5.6462002578235158E-2</v>
      </c>
      <c r="K18" s="82">
        <v>30</v>
      </c>
      <c r="L18" s="78">
        <f>(750+25*$K$18)*7*6+(690+22*$K$18)*6*30+(685+23*$K$18)*14*24</f>
        <v>768000</v>
      </c>
      <c r="M18" s="40">
        <f>I18</f>
        <v>1</v>
      </c>
      <c r="N18" s="36">
        <v>0</v>
      </c>
      <c r="O18" s="41">
        <v>0</v>
      </c>
      <c r="P18" s="33">
        <f t="shared" si="0"/>
        <v>65010403251.711639</v>
      </c>
      <c r="Q18" s="34">
        <f t="shared" si="6"/>
        <v>0</v>
      </c>
      <c r="R18" s="118">
        <f>(ROUNDDOWN($D$3*($D$4+100)/100+$D$5,0)*4+ROUNDDOWN($D$6*($D$7+100)/100+$D$8,0))*0.01*ROUNDDOWN(($D$9+100)*($D$10+100)/100,0)*($D$11+135)/100*0.955*1.24*(1.25*1.2*1.25*1.23*1.1)*(1.06)*1.2*$L18/100*O18*0.01*(1-(3.8*0.91*(100-$D$12)/100))</f>
        <v>0</v>
      </c>
      <c r="S18" s="67">
        <f t="shared" si="1"/>
        <v>65010403251.711639</v>
      </c>
      <c r="T18" s="3">
        <f t="shared" si="2"/>
        <v>1228.3244918059565</v>
      </c>
      <c r="U18" s="3"/>
      <c r="V18" s="3"/>
      <c r="X18" s="2"/>
      <c r="Y18" s="2"/>
      <c r="Z18" s="2"/>
      <c r="AA18" s="2"/>
      <c r="AB18" s="2"/>
      <c r="AC18" s="2"/>
      <c r="AD18" s="2"/>
      <c r="AE18" s="2"/>
    </row>
    <row r="19" spans="2:32" ht="33" customHeight="1" thickBot="1" x14ac:dyDescent="0.35">
      <c r="B19" s="255" t="s">
        <v>90</v>
      </c>
      <c r="C19" s="255"/>
      <c r="D19" s="255"/>
      <c r="E19" s="255"/>
      <c r="G19" s="69" t="s">
        <v>20</v>
      </c>
      <c r="H19" s="32">
        <v>57281406882344</v>
      </c>
      <c r="I19" s="5">
        <v>840</v>
      </c>
      <c r="J19" s="18">
        <f t="shared" si="3"/>
        <v>4.0501768059035916E-2</v>
      </c>
      <c r="K19" s="83"/>
      <c r="L19" s="78">
        <v>990</v>
      </c>
      <c r="M19" s="40">
        <f>ROUNDDOWN(I19/113*24,0)</f>
        <v>178</v>
      </c>
      <c r="N19" s="36">
        <f>ROUNDDOWN(I19/113*(65+3-24+ROUNDUP($K$4/2,0)),0)</f>
        <v>438</v>
      </c>
      <c r="O19" s="41">
        <f>I19-M19-N19</f>
        <v>224</v>
      </c>
      <c r="P19" s="33">
        <f t="shared" si="0"/>
        <v>14916840183.615398</v>
      </c>
      <c r="Q19" s="34">
        <f t="shared" si="6"/>
        <v>31164697035.0499</v>
      </c>
      <c r="R19" s="118">
        <f>(ROUNDDOWN($D$3*($D$4+100)/100+$D$5,0)*4+ROUNDDOWN($D$6*($D$7+100)/100+$D$8,0))*0.01*ROUNDDOWN(($D$9+100)*($D$10+100)/100,0)*($D$11+135)/100*0.955*1.24*(1.25*1.2*1.25*1.23*1.1)*(1.06)*1.2*$L19/100*O19*0.01*(1-(3.8*0.91*(100-$D$12)/100))</f>
        <v>11384364213.716858</v>
      </c>
      <c r="S19" s="67">
        <f t="shared" si="1"/>
        <v>57465901432.382156</v>
      </c>
      <c r="T19" s="3">
        <f t="shared" si="2"/>
        <v>996.78949524083873</v>
      </c>
      <c r="U19" s="3"/>
      <c r="V19" s="3"/>
      <c r="W19" s="323" t="s">
        <v>57</v>
      </c>
      <c r="X19" s="324"/>
      <c r="Y19" s="324"/>
      <c r="Z19" s="324"/>
      <c r="AA19" s="324"/>
      <c r="AB19" s="324"/>
      <c r="AC19" s="325"/>
      <c r="AF19"/>
    </row>
    <row r="20" spans="2:32" s="1" customFormat="1" ht="33" customHeight="1" x14ac:dyDescent="0.3">
      <c r="B20" s="255" t="s">
        <v>63</v>
      </c>
      <c r="C20" s="255"/>
      <c r="D20" s="255"/>
      <c r="E20" s="255"/>
      <c r="G20" s="68" t="s">
        <v>12</v>
      </c>
      <c r="H20" s="31">
        <v>26994344078394</v>
      </c>
      <c r="I20" s="4">
        <v>60</v>
      </c>
      <c r="J20" s="18">
        <f t="shared" si="3"/>
        <v>1.9086798357006135E-2</v>
      </c>
      <c r="K20" s="83"/>
      <c r="L20" s="78">
        <f>1000*6</f>
        <v>6000</v>
      </c>
      <c r="M20" s="40">
        <f>ROUNDDOWN(I20/113*24,0)</f>
        <v>12</v>
      </c>
      <c r="N20" s="36">
        <f>ROUNDDOWN(I20/113*(65+3-24+ROUNDUP($K$4/2,0)),0)</f>
        <v>31</v>
      </c>
      <c r="O20" s="41">
        <f>I20-M20-N20</f>
        <v>17</v>
      </c>
      <c r="P20" s="33">
        <f t="shared" si="0"/>
        <v>6094725304.8479662</v>
      </c>
      <c r="Q20" s="34">
        <f t="shared" si="6"/>
        <v>13368003432.773586</v>
      </c>
      <c r="R20" s="118">
        <f>(ROUNDDOWN($D$3*($D$4+100)/100+$D$5,0)*4+ROUNDDOWN($D$6*($D$7+100)/100+$D$8,0))*0.01*ROUNDDOWN(($D$9+100)*($D$10+100)/100,0)*($D$11+135)/100*0.955*1.24*(1.25*1.2*1.25*1.23*1.1)*(1.06)*1.2*$L20/100*O20*0.01*(1-(3.8*0.91*(100-$D$12)/100))</f>
        <v>5236314708.6901131</v>
      </c>
      <c r="S20" s="67">
        <f t="shared" si="1"/>
        <v>24699043446.311665</v>
      </c>
      <c r="T20" s="3">
        <f t="shared" si="2"/>
        <v>1092.930750013523</v>
      </c>
      <c r="U20" s="3"/>
      <c r="V20" s="326" t="s">
        <v>80</v>
      </c>
      <c r="W20" s="106"/>
      <c r="X20" s="328" t="s">
        <v>58</v>
      </c>
      <c r="Y20" s="329"/>
      <c r="Z20" s="330"/>
      <c r="AA20" s="331" t="s">
        <v>59</v>
      </c>
      <c r="AB20" s="329"/>
      <c r="AC20" s="330"/>
      <c r="AD20" s="2"/>
      <c r="AE20" s="2"/>
    </row>
    <row r="21" spans="2:32" s="1" customFormat="1" ht="33" customHeight="1" x14ac:dyDescent="0.3">
      <c r="B21" s="255" t="s">
        <v>60</v>
      </c>
      <c r="C21" s="255"/>
      <c r="D21" s="255"/>
      <c r="E21" s="255"/>
      <c r="G21" s="69" t="s">
        <v>25</v>
      </c>
      <c r="H21" s="32">
        <v>7902693972224</v>
      </c>
      <c r="I21" s="5">
        <v>31</v>
      </c>
      <c r="J21" s="18">
        <f t="shared" si="3"/>
        <v>5.5877307441485804E-3</v>
      </c>
      <c r="K21" s="83"/>
      <c r="L21" s="78">
        <f>385*8</f>
        <v>3080</v>
      </c>
      <c r="M21" s="40">
        <v>10</v>
      </c>
      <c r="N21" s="36">
        <f>I21-M21-1</f>
        <v>20</v>
      </c>
      <c r="O21" s="41">
        <v>0</v>
      </c>
      <c r="P21" s="33">
        <f t="shared" si="0"/>
        <v>2607188047.0738521</v>
      </c>
      <c r="Q21" s="34">
        <f t="shared" si="6"/>
        <v>4427252749.778779</v>
      </c>
      <c r="R21" s="118">
        <f>(ROUNDDOWN($D$3*($D$4+100)/100+$D$5,0)*4+ROUNDDOWN($D$6*($D$7+100)/100+$D$8,0))*0.01*ROUNDDOWN(($D$9+100)*($D$10+100)/100,0)*($D$11+135)/100*0.955*1.24*(1.25*1.2*1.25*1.23*1.1)*(1.06)*1.2*($L21/100*O21+990/100*15)*0.01*(1-(3.8*0.91*(100-$D$12)/100))</f>
        <v>762345817.88282537</v>
      </c>
      <c r="S21" s="67">
        <f t="shared" si="1"/>
        <v>7796786614.7354565</v>
      </c>
      <c r="T21" s="3">
        <f t="shared" si="2"/>
        <v>1013.583462357221</v>
      </c>
      <c r="U21" s="3"/>
      <c r="V21" s="327"/>
      <c r="W21" s="49" t="s">
        <v>77</v>
      </c>
      <c r="X21" s="52">
        <v>4</v>
      </c>
      <c r="Y21" s="52">
        <v>5</v>
      </c>
      <c r="Z21" s="53">
        <v>6</v>
      </c>
      <c r="AA21" s="62">
        <v>4</v>
      </c>
      <c r="AB21" s="52">
        <v>5</v>
      </c>
      <c r="AC21" s="53">
        <v>6</v>
      </c>
      <c r="AD21" s="2"/>
      <c r="AE21" s="2"/>
    </row>
    <row r="22" spans="2:32" s="1" customFormat="1" ht="33" customHeight="1" thickBot="1" x14ac:dyDescent="0.35">
      <c r="B22" s="255" t="s">
        <v>62</v>
      </c>
      <c r="C22" s="255"/>
      <c r="D22" s="255"/>
      <c r="E22" s="255"/>
      <c r="G22" s="69" t="s">
        <v>24</v>
      </c>
      <c r="H22" s="32">
        <v>7667431358138</v>
      </c>
      <c r="I22" s="5">
        <v>25</v>
      </c>
      <c r="J22" s="18">
        <f t="shared" si="3"/>
        <v>5.4213844138594992E-3</v>
      </c>
      <c r="K22" s="83"/>
      <c r="L22" s="78">
        <f>605*6</f>
        <v>3630</v>
      </c>
      <c r="M22" s="40">
        <v>11</v>
      </c>
      <c r="N22" s="36">
        <f>I22-M22-1</f>
        <v>13</v>
      </c>
      <c r="O22" s="41">
        <v>0</v>
      </c>
      <c r="P22" s="33">
        <f t="shared" si="0"/>
        <v>3380033075.313601</v>
      </c>
      <c r="Q22" s="34">
        <f t="shared" si="6"/>
        <v>3391591838.6698141</v>
      </c>
      <c r="R22" s="118">
        <f>(ROUNDDOWN($D$3*($D$4+100)/100+$D$5,0)*4+ROUNDDOWN($D$6*($D$7+100)/100+$D$8,0))*0.01*ROUNDDOWN(($D$9+100)*($D$10+100)/100,0)*($D$11+135)/100*0.955*1.24*(1.25*1.2*1.25*1.23*1.1)*(1.06)*1.2*($L22/100*O22+1650/100*12)*0.01*(1-(3.8*0.91*(100-$D$12)/100))</f>
        <v>1016461090.5104339</v>
      </c>
      <c r="S22" s="67">
        <f t="shared" si="1"/>
        <v>7788086004.4938498</v>
      </c>
      <c r="T22" s="3">
        <f t="shared" si="2"/>
        <v>984.50779225008171</v>
      </c>
      <c r="U22" s="3"/>
      <c r="V22" s="327"/>
      <c r="W22" s="50" t="s">
        <v>78</v>
      </c>
      <c r="X22" s="54">
        <f>(((($S$10+$S$17+$S$18)*140+$H$10+$H$17+$H$18)/($D$10+100)*($D$10+10+100)+(((SUM($S$5:$S$9)+SUM($S$11:$S$16)+SUM($S$19:$S$22))/12.1*8*140)+$H$23-$H$10-$H$17-$H$18)/($D$10+100)*($D$10+10/12.1*8+100))/$H$23)-1</f>
        <v>0.12842198778795066</v>
      </c>
      <c r="Y22" s="54">
        <f>(((($S$10+$S$17+$S$18)*160+$H$10+$H$17+$H$18)/($D$10+100)*($D$10+12+100)+(((SUM($S$5:$S$22)-$S$10-$S$17-$S$18)/12.1*8*160)+$H$23-$H$10-$H$17-$H$18)/($D$10+100)*($D$10+12/12.1*8+100))/$H$23)-1</f>
        <v>0.14908104807545297</v>
      </c>
      <c r="Z22" s="55">
        <f>(((($S$10+$S$17+$S$18)*195+$H$10+$H$17+$H$18)/($D$10+100)*($D$10+14+100)+(((SUM($S$5:$S$9)+SUM($S$11:$S$16)+SUM($S$19:$S$22))/12.1*8*195)+$H$23-$H$10-$H$17-$H$18)/($D$10+100)*($D$10+14/12.1*8+100))/$H$23)-1</f>
        <v>0.18067287162577239</v>
      </c>
      <c r="AA22" s="54">
        <f>($S$46/($D$10+100)*($D$10+80+100)-$S$46)/$H$23</f>
        <v>0.11243664107335712</v>
      </c>
      <c r="AB22" s="54">
        <f>($Q$46/($D$10+100)*($D$10+80+100)-$Q$46)/$H$23</f>
        <v>0.13437355621628741</v>
      </c>
      <c r="AC22" s="55">
        <f>($Q$46/($D$10+100)*($D$10+95+100)-$Q$46)/$H$23</f>
        <v>0.15956859800684123</v>
      </c>
      <c r="AD22" s="2"/>
      <c r="AE22" s="2"/>
    </row>
    <row r="23" spans="2:32" s="1" customFormat="1" ht="33" customHeight="1" thickBot="1" x14ac:dyDescent="0.35">
      <c r="G23" s="70" t="s">
        <v>36</v>
      </c>
      <c r="H23" s="71">
        <f>SUM($H$5:$H$22)</f>
        <v>1414293983384870</v>
      </c>
      <c r="I23" s="72"/>
      <c r="J23" s="73">
        <f t="shared" si="3"/>
        <v>1</v>
      </c>
      <c r="K23" s="84"/>
      <c r="L23" s="79"/>
      <c r="M23" s="42"/>
      <c r="N23" s="43"/>
      <c r="O23" s="44"/>
      <c r="P23" s="74"/>
      <c r="Q23" s="75"/>
      <c r="R23" s="119"/>
      <c r="S23" s="76"/>
      <c r="T23" s="98"/>
      <c r="U23" s="98"/>
      <c r="V23" s="327"/>
      <c r="W23" s="63" t="s">
        <v>93</v>
      </c>
      <c r="X23" s="54">
        <f>(((($P$10+$S$17+$S$18)*140+$H$16/$L$16*$L$10/$I$16*3+$H$17+$H$18)/($D$10+100)*($D$10+10+100)+(((SUM($S$5:$S$9)+SUM($S$11:$S$16)+SUM($S$19:$S$22))/12.1*8*140)+$H$23-$H$10-$H$17-$H$18)/($D$10+100)*($D$10+10/12.1*8+100))/$H$23)-1</f>
        <v>0.10849569556390226</v>
      </c>
      <c r="Y23" s="54">
        <f>(((($P$10+$S$17+$S$18)*160+$H$16/$L$16*$L$10/$I$16*3+$H$17+$H$18)/($D$10+100)*($D$10+12+100)+(((SUM($S$5:$S$9)+SUM($S$11:$S$16)+SUM($S$19:$S$22))/12.1*8*160)+$H$23-$H$10-$H$17-$H$18)/($D$10+100)*($D$10+12/12.1*8+100))/$H$23)-1</f>
        <v>0.12863956703844281</v>
      </c>
      <c r="Z23" s="55">
        <f>(((($P$10+$S$17+$S$18)*195+$H$16/$L$16*$L$10/$I$16*3+$H$17+$H$18)/($D$10+100)*($D$10+14+100)+(((SUM($S$5:$S$9)+SUM($S$11:$S$16)+SUM($S$19:$S$22))/12.1*8*195)+$H$23-$H$10-$H$17-$H$18)/($D$10+100)*($D$10+14/12.1*8+100))/$H$23)-1</f>
        <v>0.15943978750762655</v>
      </c>
      <c r="AA23" s="2"/>
      <c r="AB23" s="2"/>
      <c r="AC23" s="2"/>
      <c r="AD23" s="2"/>
      <c r="AE23" s="2"/>
    </row>
    <row r="24" spans="2:32" s="1" customFormat="1" ht="33" customHeight="1" x14ac:dyDescent="0.3">
      <c r="G24" s="2"/>
      <c r="L24" s="2" t="s">
        <v>69</v>
      </c>
      <c r="P24" s="123" t="s">
        <v>118</v>
      </c>
      <c r="AE24" s="2"/>
      <c r="AF24" s="2"/>
    </row>
    <row r="25" spans="2:32" s="1" customFormat="1" ht="33" customHeight="1" thickBot="1" x14ac:dyDescent="0.35">
      <c r="B25" s="51" t="s">
        <v>68</v>
      </c>
      <c r="P25" s="222" t="s">
        <v>83</v>
      </c>
      <c r="Q25" s="222"/>
      <c r="R25" s="222"/>
      <c r="S25" s="222"/>
      <c r="T25" s="222"/>
      <c r="Y25" s="2"/>
      <c r="Z25" s="2"/>
      <c r="AA25" s="2"/>
      <c r="AB25" s="2"/>
      <c r="AC25" s="2"/>
      <c r="AD25" s="2"/>
      <c r="AE25" s="2"/>
      <c r="AF25" s="2"/>
    </row>
    <row r="26" spans="2:32" s="1" customFormat="1" ht="33" customHeight="1" thickBot="1" x14ac:dyDescent="0.35">
      <c r="B26" s="2" t="s">
        <v>98</v>
      </c>
      <c r="C26" s="2"/>
      <c r="D26" s="2"/>
      <c r="E26" s="2"/>
      <c r="F26" s="2"/>
      <c r="G26" s="2"/>
      <c r="H26" s="2"/>
      <c r="I26" s="2"/>
      <c r="J26" s="2"/>
      <c r="P26" s="85"/>
      <c r="Q26" s="335" t="s">
        <v>95</v>
      </c>
      <c r="R26" s="336"/>
      <c r="S26" s="337" t="s">
        <v>96</v>
      </c>
      <c r="T26" s="336"/>
      <c r="Y26" s="2"/>
      <c r="Z26" s="2"/>
      <c r="AA26" s="2"/>
      <c r="AB26" s="2"/>
      <c r="AC26" s="2"/>
      <c r="AD26" s="2"/>
      <c r="AE26" s="2"/>
      <c r="AF26" s="2"/>
    </row>
    <row r="27" spans="2:32" ht="33" customHeight="1" x14ac:dyDescent="0.3">
      <c r="B27" s="2" t="s">
        <v>70</v>
      </c>
      <c r="C27" s="2"/>
      <c r="D27" s="2"/>
      <c r="E27" s="2"/>
      <c r="F27" s="2"/>
      <c r="G27" s="2"/>
      <c r="H27" s="2"/>
      <c r="I27" s="2"/>
      <c r="J27" s="2"/>
      <c r="K27" s="1"/>
      <c r="L27" s="1"/>
      <c r="M27" s="1"/>
      <c r="N27" s="1"/>
      <c r="O27" s="1"/>
      <c r="P27" s="64" t="s">
        <v>84</v>
      </c>
      <c r="Q27" s="61" t="s">
        <v>85</v>
      </c>
      <c r="R27" s="48" t="s">
        <v>86</v>
      </c>
      <c r="S27" s="89" t="s">
        <v>85</v>
      </c>
      <c r="T27" s="48" t="s">
        <v>86</v>
      </c>
      <c r="U27" s="1"/>
      <c r="V27" s="1"/>
      <c r="W27" s="1"/>
      <c r="X27" s="1"/>
    </row>
    <row r="28" spans="2:32" ht="33" customHeight="1" x14ac:dyDescent="0.3">
      <c r="B28" s="2" t="s">
        <v>71</v>
      </c>
      <c r="C28" s="2"/>
      <c r="D28" s="2"/>
      <c r="E28" s="2"/>
      <c r="F28" s="2"/>
      <c r="G28" s="2"/>
      <c r="H28" s="2"/>
      <c r="I28" s="2"/>
      <c r="J28" s="2"/>
      <c r="K28" s="1"/>
      <c r="L28" s="1"/>
      <c r="M28" s="1"/>
      <c r="N28" s="1"/>
      <c r="O28" s="1"/>
      <c r="P28" s="86" t="s">
        <v>23</v>
      </c>
      <c r="Q28" s="94">
        <v>0</v>
      </c>
      <c r="R28" s="59">
        <v>0</v>
      </c>
      <c r="S28" s="90">
        <v>0</v>
      </c>
      <c r="T28" s="59">
        <v>0</v>
      </c>
      <c r="U28" s="1"/>
      <c r="V28" s="1"/>
      <c r="W28" s="1"/>
      <c r="X28" s="1"/>
    </row>
    <row r="29" spans="2:32" ht="33" customHeight="1" x14ac:dyDescent="0.3">
      <c r="B29" s="2" t="s">
        <v>88</v>
      </c>
      <c r="C29" s="2"/>
      <c r="D29" s="2"/>
      <c r="E29" s="2"/>
      <c r="F29" s="2"/>
      <c r="G29" s="2"/>
      <c r="H29" s="2"/>
      <c r="I29" s="2"/>
      <c r="J29" s="2"/>
      <c r="P29" s="87" t="s">
        <v>30</v>
      </c>
      <c r="Q29" s="95">
        <f>($H$16/$L$16*L6)/$I$16*R29</f>
        <v>11681294942008.318</v>
      </c>
      <c r="R29" s="60">
        <v>30</v>
      </c>
      <c r="S29" s="91">
        <f t="shared" ref="S29:S34" si="7">($H$16/$L$16*L6)/$I$16*T29</f>
        <v>8176906459405.8232</v>
      </c>
      <c r="T29" s="59">
        <v>21</v>
      </c>
    </row>
    <row r="30" spans="2:32" ht="33" customHeight="1" x14ac:dyDescent="0.3">
      <c r="B30" s="2" t="s">
        <v>72</v>
      </c>
      <c r="C30" s="2"/>
      <c r="D30" s="2"/>
      <c r="E30" s="2"/>
      <c r="F30" s="2"/>
      <c r="G30" s="2"/>
      <c r="H30" s="2"/>
      <c r="I30" s="2"/>
      <c r="J30" s="2"/>
      <c r="P30" s="87" t="s">
        <v>31</v>
      </c>
      <c r="Q30" s="95">
        <f t="shared" ref="Q30:Q32" si="8">($H$16/$L$16*L7)/$I$16*R30</f>
        <v>20557144307882.137</v>
      </c>
      <c r="R30" s="60">
        <v>6</v>
      </c>
      <c r="S30" s="91">
        <f t="shared" si="7"/>
        <v>20557144307882.137</v>
      </c>
      <c r="T30" s="60">
        <v>6</v>
      </c>
    </row>
    <row r="31" spans="2:32" ht="33" customHeight="1" x14ac:dyDescent="0.3">
      <c r="B31" s="2" t="s">
        <v>67</v>
      </c>
      <c r="C31" s="2"/>
      <c r="D31" s="2"/>
      <c r="E31" s="2"/>
      <c r="F31" s="2"/>
      <c r="G31" s="2"/>
      <c r="H31" s="2"/>
      <c r="I31" s="2"/>
      <c r="J31" s="2"/>
      <c r="P31" s="87" t="s">
        <v>32</v>
      </c>
      <c r="Q31" s="95">
        <f t="shared" si="8"/>
        <v>12455210963010.938</v>
      </c>
      <c r="R31" s="60">
        <v>3</v>
      </c>
      <c r="S31" s="91">
        <f t="shared" si="7"/>
        <v>12455210963010.938</v>
      </c>
      <c r="T31" s="60">
        <v>3</v>
      </c>
    </row>
    <row r="32" spans="2:32" ht="33" customHeight="1" x14ac:dyDescent="0.3">
      <c r="B32" s="2" t="s">
        <v>82</v>
      </c>
      <c r="C32" s="2"/>
      <c r="D32" s="2"/>
      <c r="E32" s="2"/>
      <c r="F32" s="2"/>
      <c r="G32" s="2"/>
      <c r="H32" s="2"/>
      <c r="I32" s="2"/>
      <c r="J32" s="2"/>
      <c r="P32" s="87" t="s">
        <v>9</v>
      </c>
      <c r="Q32" s="95">
        <f t="shared" si="8"/>
        <v>35178000954664.605</v>
      </c>
      <c r="R32" s="60">
        <v>8</v>
      </c>
      <c r="S32" s="91">
        <f t="shared" si="7"/>
        <v>26383500715998.453</v>
      </c>
      <c r="T32" s="59">
        <v>6</v>
      </c>
    </row>
    <row r="33" spans="2:28" ht="33" customHeight="1" x14ac:dyDescent="0.3">
      <c r="B33" s="2" t="s">
        <v>89</v>
      </c>
      <c r="C33" s="47"/>
      <c r="D33" s="47"/>
      <c r="E33" s="47"/>
      <c r="F33" s="47"/>
      <c r="G33" s="47"/>
      <c r="H33" s="47"/>
      <c r="P33" s="86" t="s">
        <v>19</v>
      </c>
      <c r="Q33" s="95">
        <f>($H$16/$L$16*L10)/$I$16*R33</f>
        <v>30780750835331.539</v>
      </c>
      <c r="R33" s="59">
        <v>3</v>
      </c>
      <c r="S33" s="91">
        <f t="shared" si="7"/>
        <v>30780750835331.539</v>
      </c>
      <c r="T33" s="59">
        <v>3</v>
      </c>
    </row>
    <row r="34" spans="2:28" ht="33" customHeight="1" x14ac:dyDescent="0.3">
      <c r="P34" s="87" t="s">
        <v>13</v>
      </c>
      <c r="Q34" s="95">
        <f>($H$16/$L$16*L11)/$I$16*R34</f>
        <v>33012355270893.078</v>
      </c>
      <c r="R34" s="60">
        <v>24</v>
      </c>
      <c r="S34" s="91">
        <f t="shared" si="7"/>
        <v>24759266453169.809</v>
      </c>
      <c r="T34" s="59">
        <v>18</v>
      </c>
    </row>
    <row r="35" spans="2:28" ht="33" customHeight="1" x14ac:dyDescent="0.3">
      <c r="P35" s="87" t="s">
        <v>22</v>
      </c>
      <c r="Q35" s="95">
        <f>$H$12/$I$12*$R$35</f>
        <v>46420757338002.547</v>
      </c>
      <c r="R35" s="60">
        <v>24</v>
      </c>
      <c r="S35" s="91">
        <f>$H$12/$I$12*T35</f>
        <v>34815568003501.91</v>
      </c>
      <c r="T35" s="59">
        <v>18</v>
      </c>
    </row>
    <row r="36" spans="2:28" ht="33" customHeight="1" x14ac:dyDescent="0.3">
      <c r="P36" s="87" t="s">
        <v>17</v>
      </c>
      <c r="Q36" s="95">
        <f>($H$16/$L$16*L13)/$I$16*R36</f>
        <v>17001967586401.342</v>
      </c>
      <c r="R36" s="60">
        <f>ROUNDDOWN($M$13/24*20,0)</f>
        <v>95</v>
      </c>
      <c r="S36" s="91">
        <f>($H$16/$L$16*L13)/$I$16*T36</f>
        <v>13064669829550.506</v>
      </c>
      <c r="T36" s="59">
        <v>73</v>
      </c>
    </row>
    <row r="37" spans="2:28" ht="33" customHeight="1" x14ac:dyDescent="0.3">
      <c r="P37" s="87" t="s">
        <v>16</v>
      </c>
      <c r="Q37" s="95">
        <f>($H$16/$L$16*L14)/$I$16*R37</f>
        <v>37982347218269.281</v>
      </c>
      <c r="R37" s="60">
        <f>ROUNDDOWN($I$14/113*20,0)</f>
        <v>12</v>
      </c>
      <c r="S37" s="91">
        <f>($H$16/$L$16*L14)/$I$16*T37</f>
        <v>28486760413701.965</v>
      </c>
      <c r="T37" s="59">
        <v>9</v>
      </c>
    </row>
    <row r="38" spans="2:28" ht="33" customHeight="1" x14ac:dyDescent="0.3">
      <c r="P38" s="86" t="s">
        <v>18</v>
      </c>
      <c r="Q38" s="96">
        <f>H15/I15*R38</f>
        <v>57009194165556.438</v>
      </c>
      <c r="R38" s="59">
        <v>57</v>
      </c>
      <c r="S38" s="92">
        <f>H15/I15*T38</f>
        <v>42006774648304.742</v>
      </c>
      <c r="T38" s="59">
        <v>42</v>
      </c>
      <c r="AB38" s="29"/>
    </row>
    <row r="39" spans="2:28" ht="33" customHeight="1" x14ac:dyDescent="0.3">
      <c r="P39" s="86" t="s">
        <v>21</v>
      </c>
      <c r="Q39" s="96">
        <f>H16/I16*R39</f>
        <v>106945520152299.75</v>
      </c>
      <c r="R39" s="59">
        <v>67</v>
      </c>
      <c r="S39" s="92">
        <f>H16/I16*T39</f>
        <v>79810089665895.344</v>
      </c>
      <c r="T39" s="59">
        <v>50</v>
      </c>
    </row>
    <row r="40" spans="2:28" ht="33" customHeight="1" x14ac:dyDescent="0.3">
      <c r="P40" s="86" t="s">
        <v>27</v>
      </c>
      <c r="Q40" s="96">
        <f>H17/I17*R40</f>
        <v>64575695777524</v>
      </c>
      <c r="R40" s="59">
        <v>3</v>
      </c>
      <c r="S40" s="92">
        <f>H17/I17*T40</f>
        <v>64575695777524</v>
      </c>
      <c r="T40" s="59">
        <v>3</v>
      </c>
    </row>
    <row r="41" spans="2:28" ht="33" customHeight="1" x14ac:dyDescent="0.3">
      <c r="P41" s="87" t="s">
        <v>26</v>
      </c>
      <c r="Q41" s="96">
        <f>H18/I18*R41</f>
        <v>79853870536259</v>
      </c>
      <c r="R41" s="60">
        <v>1</v>
      </c>
      <c r="S41" s="92">
        <f>H18/I18*T41</f>
        <v>79853870536259</v>
      </c>
      <c r="T41" s="59">
        <v>1</v>
      </c>
    </row>
    <row r="42" spans="2:28" ht="33" customHeight="1" x14ac:dyDescent="0.3">
      <c r="P42" s="86" t="s">
        <v>20</v>
      </c>
      <c r="Q42" s="95">
        <f>($H$16/$L$16*L19)/$I$16*R42</f>
        <v>15417858230911.6</v>
      </c>
      <c r="R42" s="59">
        <v>170</v>
      </c>
      <c r="S42" s="91">
        <f>($H$16/$L$16*L19)/$I$16*T42</f>
        <v>12243593301018.035</v>
      </c>
      <c r="T42" s="59">
        <v>135</v>
      </c>
    </row>
    <row r="43" spans="2:28" ht="33" customHeight="1" x14ac:dyDescent="0.3">
      <c r="P43" s="87" t="s">
        <v>12</v>
      </c>
      <c r="Q43" s="95">
        <f>($H$16/$L$16*L20)/$I$16*R43</f>
        <v>4946906384249.71</v>
      </c>
      <c r="R43" s="60">
        <v>9</v>
      </c>
      <c r="S43" s="91">
        <f>($H$16/$L$16*L20)/$I$16*T43</f>
        <v>3297937589499.8066</v>
      </c>
      <c r="T43" s="59">
        <v>6</v>
      </c>
    </row>
    <row r="44" spans="2:28" ht="33" customHeight="1" x14ac:dyDescent="0.3">
      <c r="P44" s="86" t="s">
        <v>25</v>
      </c>
      <c r="Q44" s="95">
        <f>($H$16/$L$16*L21)/$I$16*R44</f>
        <v>2821568826572.0576</v>
      </c>
      <c r="R44" s="59">
        <v>10</v>
      </c>
      <c r="S44" s="91">
        <f>($H$16/$L$16*L21)/$I$16*T44</f>
        <v>1410784413286.0288</v>
      </c>
      <c r="T44" s="59">
        <v>5</v>
      </c>
    </row>
    <row r="45" spans="2:28" ht="33" customHeight="1" x14ac:dyDescent="0.3">
      <c r="P45" s="86" t="s">
        <v>24</v>
      </c>
      <c r="Q45" s="95">
        <f>($H$16/$L$16*L22)/$I$16*R45</f>
        <v>2992878362471.0752</v>
      </c>
      <c r="R45" s="59">
        <v>9</v>
      </c>
      <c r="S45" s="91">
        <f>($H$16/$L$16*L22)/$I$16*T45</f>
        <v>2327794281921.9473</v>
      </c>
      <c r="T45" s="59">
        <v>7</v>
      </c>
    </row>
    <row r="46" spans="2:28" ht="33" customHeight="1" thickBot="1" x14ac:dyDescent="0.35">
      <c r="P46" s="88" t="s">
        <v>36</v>
      </c>
      <c r="Q46" s="97">
        <f>SUM(Q28:Q45)</f>
        <v>579633321852307.5</v>
      </c>
      <c r="R46" s="44"/>
      <c r="S46" s="93">
        <f>SUM(S28:S45)</f>
        <v>485006318195262</v>
      </c>
      <c r="T46" s="44"/>
    </row>
    <row r="47" spans="2:28" ht="33" customHeight="1" x14ac:dyDescent="0.3"/>
    <row r="48" spans="2:28" ht="33" customHeight="1" x14ac:dyDescent="0.3">
      <c r="N48" s="2" t="s">
        <v>79</v>
      </c>
      <c r="O48" s="2"/>
      <c r="P48" s="2"/>
      <c r="Q48" s="2"/>
      <c r="R48" s="2"/>
      <c r="S48" s="2"/>
      <c r="T48" s="2"/>
      <c r="U48" s="2"/>
      <c r="V48" s="2"/>
      <c r="W48" s="2"/>
    </row>
    <row r="49" spans="14:23" ht="33" customHeight="1" x14ac:dyDescent="0.3">
      <c r="N49" s="2" t="s">
        <v>97</v>
      </c>
      <c r="O49" s="2"/>
      <c r="P49" s="2"/>
      <c r="Q49" s="2" t="s">
        <v>64</v>
      </c>
      <c r="R49" s="2"/>
      <c r="S49" s="2" t="s">
        <v>66</v>
      </c>
      <c r="T49" s="2"/>
    </row>
    <row r="50" spans="14:23" ht="33" customHeight="1" x14ac:dyDescent="0.3">
      <c r="N50" s="2" t="s">
        <v>61</v>
      </c>
      <c r="O50" s="2"/>
      <c r="P50" s="2"/>
      <c r="Q50" s="2" t="s">
        <v>65</v>
      </c>
      <c r="R50" s="2"/>
      <c r="S50" s="2" t="s">
        <v>92</v>
      </c>
      <c r="T50" s="2"/>
    </row>
    <row r="51" spans="14:23" ht="33" customHeight="1" x14ac:dyDescent="0.3">
      <c r="N51" s="2" t="s">
        <v>81</v>
      </c>
      <c r="O51" s="2"/>
      <c r="P51" s="2"/>
      <c r="Q51" s="2" t="s">
        <v>76</v>
      </c>
      <c r="R51" s="2"/>
      <c r="S51" s="2" t="s">
        <v>75</v>
      </c>
      <c r="T51" s="2"/>
      <c r="U51" s="2"/>
      <c r="V51" s="2"/>
      <c r="W51" s="2"/>
    </row>
    <row r="52" spans="14:23" ht="33" customHeight="1" x14ac:dyDescent="0.3">
      <c r="N52" s="2" t="s">
        <v>87</v>
      </c>
      <c r="O52" s="2"/>
      <c r="P52" s="2"/>
      <c r="Q52" s="2"/>
      <c r="R52" s="2"/>
      <c r="S52" s="2" t="s">
        <v>73</v>
      </c>
      <c r="T52" s="2"/>
      <c r="U52" s="2"/>
      <c r="V52" s="2"/>
      <c r="W52" s="2"/>
    </row>
    <row r="53" spans="14:23" ht="33" customHeight="1" x14ac:dyDescent="0.3">
      <c r="S53" s="2" t="s">
        <v>74</v>
      </c>
    </row>
    <row r="54" spans="14:23" ht="33" customHeight="1" x14ac:dyDescent="0.3"/>
    <row r="55" spans="14:23" ht="33" customHeight="1" x14ac:dyDescent="0.3"/>
    <row r="56" spans="14:23" ht="33" customHeight="1" x14ac:dyDescent="0.3"/>
    <row r="57" spans="14:23" ht="33" customHeight="1" x14ac:dyDescent="0.3"/>
    <row r="58" spans="14:23" ht="33" customHeight="1" x14ac:dyDescent="0.3"/>
    <row r="59" spans="14:23" ht="33" customHeight="1" x14ac:dyDescent="0.3"/>
    <row r="60" spans="14:23" ht="33" customHeight="1" x14ac:dyDescent="0.3"/>
    <row r="61" spans="14:23" ht="33" customHeight="1" x14ac:dyDescent="0.3"/>
    <row r="62" spans="14:23" ht="33" customHeight="1" x14ac:dyDescent="0.3"/>
    <row r="63" spans="14:23" ht="33" customHeight="1" x14ac:dyDescent="0.3"/>
    <row r="64" spans="14:23" ht="33" customHeight="1" x14ac:dyDescent="0.3"/>
    <row r="65" ht="33" customHeight="1" x14ac:dyDescent="0.3"/>
    <row r="66" ht="33" customHeight="1" x14ac:dyDescent="0.3"/>
    <row r="67" ht="33" customHeight="1" x14ac:dyDescent="0.3"/>
    <row r="68" ht="33" customHeight="1" x14ac:dyDescent="0.3"/>
    <row r="69" ht="33" customHeight="1" x14ac:dyDescent="0.3"/>
    <row r="70" ht="33" customHeight="1" x14ac:dyDescent="0.3"/>
    <row r="71" ht="33" customHeight="1" x14ac:dyDescent="0.3"/>
    <row r="72" ht="33" customHeight="1" x14ac:dyDescent="0.3"/>
    <row r="73" ht="33" customHeight="1" x14ac:dyDescent="0.3"/>
    <row r="74" ht="33" customHeight="1" x14ac:dyDescent="0.3"/>
    <row r="75" ht="33" customHeight="1" x14ac:dyDescent="0.3"/>
    <row r="76" ht="33" customHeight="1" x14ac:dyDescent="0.3"/>
    <row r="77" ht="33" customHeight="1" x14ac:dyDescent="0.3"/>
    <row r="78" ht="33" customHeight="1" x14ac:dyDescent="0.3"/>
    <row r="79" ht="33" customHeight="1" x14ac:dyDescent="0.3"/>
    <row r="80" ht="33" customHeight="1" x14ac:dyDescent="0.3"/>
    <row r="81" ht="33" customHeight="1" x14ac:dyDescent="0.3"/>
    <row r="82" ht="33" customHeight="1" x14ac:dyDescent="0.3"/>
    <row r="83" ht="33" customHeight="1" x14ac:dyDescent="0.3"/>
    <row r="84" ht="33" customHeight="1" x14ac:dyDescent="0.3"/>
    <row r="85" ht="33" customHeight="1" x14ac:dyDescent="0.3"/>
    <row r="86" ht="33" customHeight="1" x14ac:dyDescent="0.3"/>
    <row r="87" ht="33" customHeight="1" x14ac:dyDescent="0.3"/>
    <row r="88" ht="33" customHeight="1" x14ac:dyDescent="0.3"/>
    <row r="89" ht="33" customHeight="1" x14ac:dyDescent="0.3"/>
    <row r="90" ht="33" customHeight="1" x14ac:dyDescent="0.3"/>
    <row r="91" ht="33" customHeight="1" x14ac:dyDescent="0.3"/>
    <row r="92" ht="33" customHeight="1" x14ac:dyDescent="0.3"/>
    <row r="93" ht="33" customHeight="1" x14ac:dyDescent="0.3"/>
    <row r="94" ht="33" customHeight="1" x14ac:dyDescent="0.3"/>
    <row r="95" ht="33" customHeight="1" x14ac:dyDescent="0.3"/>
    <row r="96" ht="33" customHeight="1" x14ac:dyDescent="0.3"/>
    <row r="97" ht="33" customHeight="1" x14ac:dyDescent="0.3"/>
    <row r="98" ht="33" customHeight="1" x14ac:dyDescent="0.3"/>
    <row r="99" ht="33" customHeight="1" x14ac:dyDescent="0.3"/>
    <row r="100" ht="33" customHeight="1" x14ac:dyDescent="0.3"/>
    <row r="101" ht="33" customHeight="1" x14ac:dyDescent="0.3"/>
    <row r="102" ht="33" customHeight="1" x14ac:dyDescent="0.3"/>
    <row r="103" ht="33" customHeight="1" x14ac:dyDescent="0.3"/>
    <row r="104" ht="33" customHeight="1" x14ac:dyDescent="0.3"/>
    <row r="105" ht="33" customHeight="1" x14ac:dyDescent="0.3"/>
    <row r="106" ht="33" customHeight="1" x14ac:dyDescent="0.3"/>
    <row r="107" ht="33" customHeight="1" x14ac:dyDescent="0.3"/>
    <row r="108" ht="33" customHeight="1" x14ac:dyDescent="0.3"/>
    <row r="109" ht="33" customHeight="1" x14ac:dyDescent="0.3"/>
    <row r="110" ht="33" customHeight="1" x14ac:dyDescent="0.3"/>
    <row r="111" ht="33" customHeight="1" x14ac:dyDescent="0.3"/>
    <row r="112" ht="33" customHeight="1" x14ac:dyDescent="0.3"/>
  </sheetData>
  <sheetProtection algorithmName="SHA-512" hashValue="q4RXw+lAyJynouhjrLCKslQIO1ntY+yZ2n866w9qi53Zz4csswKAsSG5yVhII4gbthJROCevaWyT/DtHzg/aIg==" saltValue="r8cHXMrvWnUZbWb2SzkgEw==" spinCount="100000" sheet="1" objects="1" scenarios="1"/>
  <mergeCells count="47">
    <mergeCell ref="B21:E21"/>
    <mergeCell ref="B22:E22"/>
    <mergeCell ref="B20:E20"/>
    <mergeCell ref="B19:E19"/>
    <mergeCell ref="B18:E18"/>
    <mergeCell ref="B17:E17"/>
    <mergeCell ref="Y1:AA1"/>
    <mergeCell ref="AB1:AD1"/>
    <mergeCell ref="B11:C11"/>
    <mergeCell ref="B12:C12"/>
    <mergeCell ref="B13:C13"/>
    <mergeCell ref="K15:K17"/>
    <mergeCell ref="G1:G3"/>
    <mergeCell ref="Y3:Z3"/>
    <mergeCell ref="AA4:AC4"/>
    <mergeCell ref="Y4:Z4"/>
    <mergeCell ref="B6:B8"/>
    <mergeCell ref="B9:B10"/>
    <mergeCell ref="P3:Q3"/>
    <mergeCell ref="Q2:R2"/>
    <mergeCell ref="P4:R4"/>
    <mergeCell ref="H7:H8"/>
    <mergeCell ref="M3:N3"/>
    <mergeCell ref="M4:O4"/>
    <mergeCell ref="H1:H3"/>
    <mergeCell ref="B2:D2"/>
    <mergeCell ref="I7:I8"/>
    <mergeCell ref="J7:J8"/>
    <mergeCell ref="K6:K8"/>
    <mergeCell ref="S2:S4"/>
    <mergeCell ref="B1:D1"/>
    <mergeCell ref="B3:B5"/>
    <mergeCell ref="M1:O1"/>
    <mergeCell ref="K1:K3"/>
    <mergeCell ref="J1:J3"/>
    <mergeCell ref="I1:I3"/>
    <mergeCell ref="L1:L4"/>
    <mergeCell ref="N2:O2"/>
    <mergeCell ref="P1:S1"/>
    <mergeCell ref="K11:K13"/>
    <mergeCell ref="W19:AC19"/>
    <mergeCell ref="Q26:R26"/>
    <mergeCell ref="S26:T26"/>
    <mergeCell ref="P25:T25"/>
    <mergeCell ref="V20:V23"/>
    <mergeCell ref="AA20:AC20"/>
    <mergeCell ref="X20:Z20"/>
  </mergeCells>
  <phoneticPr fontId="3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계산기</vt:lpstr>
      <vt:lpstr>원래 스펙</vt:lpstr>
      <vt:lpstr>변경 스펙</vt:lpstr>
      <vt:lpstr>기준표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kkiimm1119@gmail.com</dc:creator>
  <cp:keywords/>
  <dc:description/>
  <cp:lastModifiedBy>kkiimm1119@gmail.com</cp:lastModifiedBy>
  <cp:revision/>
  <dcterms:created xsi:type="dcterms:W3CDTF">2025-07-15T18:30:22Z</dcterms:created>
  <dcterms:modified xsi:type="dcterms:W3CDTF">2025-08-30T09:05:31Z</dcterms:modified>
  <cp:category/>
  <cp:contentStatus/>
</cp:coreProperties>
</file>