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로아\"/>
    </mc:Choice>
  </mc:AlternateContent>
  <xr:revisionPtr revIDLastSave="0" documentId="13_ncr:1_{8BB637CA-39F5-4A52-B6BD-567455BACCEB}" xr6:coauthVersionLast="47" xr6:coauthVersionMax="47" xr10:uidLastSave="{00000000-0000-0000-0000-000000000000}"/>
  <bookViews>
    <workbookView xWindow="-120" yWindow="-120" windowWidth="29040" windowHeight="15840" xr2:uid="{F2FA6996-1E8F-4E31-B5BB-C56AD09AA2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19" i="1"/>
  <c r="V18" i="1"/>
  <c r="V17" i="1"/>
  <c r="V16" i="1"/>
  <c r="V15" i="1"/>
  <c r="V14" i="1"/>
  <c r="V13" i="1"/>
  <c r="V12" i="1"/>
  <c r="U20" i="1"/>
  <c r="U19" i="1"/>
  <c r="U18" i="1"/>
  <c r="U17" i="1"/>
  <c r="U16" i="1"/>
  <c r="U15" i="1"/>
  <c r="U14" i="1"/>
  <c r="U13" i="1"/>
  <c r="U12" i="1"/>
  <c r="W20" i="1"/>
  <c r="W19" i="1"/>
  <c r="W18" i="1"/>
  <c r="W17" i="1"/>
  <c r="W16" i="1"/>
  <c r="W15" i="1"/>
  <c r="W14" i="1"/>
  <c r="W13" i="1"/>
  <c r="W12" i="1"/>
  <c r="V11" i="1"/>
  <c r="V10" i="1"/>
  <c r="V9" i="1"/>
  <c r="V8" i="1"/>
  <c r="V7" i="1"/>
  <c r="V6" i="1"/>
  <c r="V5" i="1"/>
  <c r="V4" i="1"/>
  <c r="V3" i="1"/>
  <c r="U11" i="1"/>
  <c r="U9" i="1"/>
  <c r="U8" i="1"/>
  <c r="U7" i="1"/>
  <c r="U6" i="1"/>
  <c r="U5" i="1"/>
  <c r="U4" i="1"/>
  <c r="U3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U10" i="1"/>
  <c r="X19" i="1" l="1"/>
  <c r="Z19" i="1" s="1"/>
  <c r="X10" i="1"/>
  <c r="X12" i="1"/>
  <c r="Z12" i="1" s="1"/>
  <c r="X15" i="1"/>
  <c r="X4" i="1"/>
  <c r="X16" i="1"/>
  <c r="Z16" i="1" s="1"/>
  <c r="Z15" i="1"/>
  <c r="X6" i="1"/>
  <c r="X13" i="1"/>
  <c r="Z13" i="1" s="1"/>
  <c r="X9" i="1"/>
  <c r="X7" i="1"/>
  <c r="X3" i="1"/>
  <c r="X18" i="1"/>
  <c r="Z18" i="1" s="1"/>
  <c r="W10" i="1"/>
  <c r="Z10" i="1" s="1"/>
  <c r="W4" i="1"/>
  <c r="W5" i="1"/>
  <c r="W3" i="1"/>
  <c r="W6" i="1"/>
  <c r="W7" i="1"/>
  <c r="W8" i="1"/>
  <c r="W9" i="1"/>
  <c r="W11" i="1"/>
  <c r="X5" i="1"/>
  <c r="X14" i="1"/>
  <c r="Z14" i="1" s="1"/>
  <c r="X17" i="1"/>
  <c r="Z17" i="1" s="1"/>
  <c r="X20" i="1"/>
  <c r="Z20" i="1" s="1"/>
  <c r="X8" i="1"/>
  <c r="X11" i="1"/>
  <c r="Z3" i="1" l="1"/>
  <c r="Z4" i="1"/>
  <c r="Z7" i="1"/>
  <c r="Z6" i="1"/>
  <c r="Z9" i="1"/>
  <c r="Z11" i="1"/>
  <c r="Z8" i="1"/>
  <c r="Z5" i="1"/>
  <c r="AA12" i="1"/>
  <c r="AA3" i="1" l="1"/>
  <c r="I24" i="1" s="1"/>
  <c r="G31" i="1"/>
  <c r="F28" i="1"/>
  <c r="G28" i="1"/>
  <c r="D30" i="1"/>
  <c r="E30" i="1"/>
  <c r="F30" i="1"/>
  <c r="D31" i="1"/>
  <c r="G18" i="1" l="1"/>
  <c r="F17" i="1"/>
  <c r="D18" i="1"/>
  <c r="D17" i="1"/>
  <c r="F15" i="1"/>
  <c r="G15" i="1"/>
  <c r="I23" i="1"/>
  <c r="E17" i="1"/>
  <c r="J24" i="1"/>
</calcChain>
</file>

<file path=xl/sharedStrings.xml><?xml version="1.0" encoding="utf-8"?>
<sst xmlns="http://schemas.openxmlformats.org/spreadsheetml/2006/main" count="105" uniqueCount="46">
  <si>
    <t>백어택 적중률(%)</t>
    <phoneticPr fontId="2" type="noConversion"/>
  </si>
  <si>
    <t>치명타 적중률(%)</t>
    <phoneticPr fontId="2" type="noConversion"/>
  </si>
  <si>
    <t>치명타 피해(%)</t>
    <phoneticPr fontId="2" type="noConversion"/>
  </si>
  <si>
    <t>추가 피해(%)</t>
    <phoneticPr fontId="2" type="noConversion"/>
  </si>
  <si>
    <t>아드 치적(%)</t>
    <phoneticPr fontId="2" type="noConversion"/>
  </si>
  <si>
    <t>서폿 팔찌 치적(%)</t>
    <phoneticPr fontId="2" type="noConversion"/>
  </si>
  <si>
    <t>시너지 치적(%)</t>
    <phoneticPr fontId="2" type="noConversion"/>
  </si>
  <si>
    <t>서폿 팔찌 치피(%)</t>
    <phoneticPr fontId="2" type="noConversion"/>
  </si>
  <si>
    <t>시너지</t>
    <phoneticPr fontId="2" type="noConversion"/>
  </si>
  <si>
    <t>자치적</t>
    <phoneticPr fontId="2" type="noConversion"/>
  </si>
  <si>
    <t>스탯창</t>
    <phoneticPr fontId="2" type="noConversion"/>
  </si>
  <si>
    <t>아크패시브</t>
    <phoneticPr fontId="2" type="noConversion"/>
  </si>
  <si>
    <t>입타 가동률(%)</t>
    <phoneticPr fontId="2" type="noConversion"/>
  </si>
  <si>
    <t>4번 넘어지면 1% 하락</t>
    <phoneticPr fontId="2" type="noConversion"/>
  </si>
  <si>
    <t>레이드 10분 기준</t>
    <phoneticPr fontId="2" type="noConversion"/>
  </si>
  <si>
    <t>아크 패시브</t>
    <phoneticPr fontId="2" type="noConversion"/>
  </si>
  <si>
    <t>1노드</t>
    <phoneticPr fontId="2" type="noConversion"/>
  </si>
  <si>
    <t>2노드</t>
    <phoneticPr fontId="2" type="noConversion"/>
  </si>
  <si>
    <t>3노드</t>
    <phoneticPr fontId="2" type="noConversion"/>
  </si>
  <si>
    <t>4노드</t>
    <phoneticPr fontId="2" type="noConversion"/>
  </si>
  <si>
    <t>5노드</t>
    <phoneticPr fontId="2" type="noConversion"/>
  </si>
  <si>
    <t>예감2 한돌1</t>
  </si>
  <si>
    <t>예감1 한돌2</t>
  </si>
  <si>
    <t>예감0 한돌3</t>
  </si>
  <si>
    <t>뭉가</t>
  </si>
  <si>
    <t>입타</t>
  </si>
  <si>
    <t>회심 달인</t>
    <phoneticPr fontId="2" type="noConversion"/>
  </si>
  <si>
    <t>회심 분쇄</t>
  </si>
  <si>
    <t>달인 분쇄</t>
  </si>
  <si>
    <t>추피</t>
    <phoneticPr fontId="2" type="noConversion"/>
  </si>
  <si>
    <t>진피</t>
    <phoneticPr fontId="2" type="noConversion"/>
  </si>
  <si>
    <t>치적(백100)</t>
    <phoneticPr fontId="2" type="noConversion"/>
  </si>
  <si>
    <t>치적(백0)</t>
    <phoneticPr fontId="2" type="noConversion"/>
  </si>
  <si>
    <t>치피</t>
    <phoneticPr fontId="2" type="noConversion"/>
  </si>
  <si>
    <t>데미지배율</t>
    <phoneticPr fontId="2" type="noConversion"/>
  </si>
  <si>
    <t>젤쎈거</t>
    <phoneticPr fontId="2" type="noConversion"/>
  </si>
  <si>
    <t>치</t>
    <phoneticPr fontId="2" type="noConversion"/>
  </si>
  <si>
    <t>특</t>
    <phoneticPr fontId="2" type="noConversion"/>
  </si>
  <si>
    <t>신</t>
    <phoneticPr fontId="2" type="noConversion"/>
  </si>
  <si>
    <t>일격2</t>
    <phoneticPr fontId="2" type="noConversion"/>
  </si>
  <si>
    <t>입타중에젤쎈거</t>
    <phoneticPr fontId="2" type="noConversion"/>
  </si>
  <si>
    <t>진화 카르마 랭크</t>
    <phoneticPr fontId="2" type="noConversion"/>
  </si>
  <si>
    <t>뭉가 쓰기 싫을때</t>
    <phoneticPr fontId="2" type="noConversion"/>
  </si>
  <si>
    <t>사용 방법
1. 아크패시브 진화 탭 초기화
2. 첫번째 노드(특성)만 찍는다.
3. 빨주노파 네개의 칸을 채운다.
초기화 하기 귀찮으면 암산하셔도 됩니다.
근데 그랬다가 실수하면 저도 몰?루용</t>
    <phoneticPr fontId="2" type="noConversion"/>
  </si>
  <si>
    <t>계산 결과</t>
    <phoneticPr fontId="2" type="noConversion"/>
  </si>
  <si>
    <t>가장 기대 딜이 높은 세팅 (추천)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</si>
</sst>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8" borderId="13" xfId="0" applyFill="1" applyBorder="1">
      <alignment vertical="center"/>
    </xf>
    <xf numFmtId="0" fontId="0" fillId="9" borderId="14" xfId="0" applyFill="1" applyBorder="1" applyAlignment="1">
      <alignment horizontal="center" vertical="center"/>
    </xf>
    <xf numFmtId="0" fontId="0" fillId="8" borderId="15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16" borderId="0" xfId="0" applyFill="1">
      <alignment vertical="center"/>
    </xf>
    <xf numFmtId="0" fontId="3" fillId="16" borderId="0" xfId="1" applyFont="1" applyFill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5" borderId="2" xfId="0" applyFill="1" applyBorder="1">
      <alignment vertical="center"/>
    </xf>
    <xf numFmtId="0" fontId="0" fillId="15" borderId="3" xfId="0" applyFill="1" applyBorder="1">
      <alignment vertical="center"/>
    </xf>
    <xf numFmtId="0" fontId="0" fillId="15" borderId="4" xfId="0" applyFill="1" applyBorder="1">
      <alignment vertical="center"/>
    </xf>
    <xf numFmtId="0" fontId="0" fillId="15" borderId="5" xfId="0" applyFill="1" applyBorder="1">
      <alignment vertical="center"/>
    </xf>
    <xf numFmtId="0" fontId="0" fillId="15" borderId="6" xfId="0" applyFill="1" applyBorder="1">
      <alignment vertical="center"/>
    </xf>
    <xf numFmtId="0" fontId="0" fillId="15" borderId="7" xfId="0" applyFill="1" applyBorder="1">
      <alignment vertical="center"/>
    </xf>
    <xf numFmtId="0" fontId="0" fillId="15" borderId="8" xfId="0" applyFill="1" applyBorder="1">
      <alignment vertical="center"/>
    </xf>
    <xf numFmtId="0" fontId="0" fillId="15" borderId="9" xfId="0" applyFill="1" applyBorder="1">
      <alignment vertical="center"/>
    </xf>
    <xf numFmtId="0" fontId="6" fillId="16" borderId="3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left" vertical="center"/>
    </xf>
    <xf numFmtId="0" fontId="0" fillId="12" borderId="0" xfId="0" applyFill="1" applyBorder="1" applyAlignment="1">
      <alignment horizontal="right" vertical="center"/>
    </xf>
    <xf numFmtId="0" fontId="0" fillId="17" borderId="0" xfId="0" applyFill="1" applyBorder="1" applyAlignment="1">
      <alignment horizontal="center" vertical="center"/>
    </xf>
    <xf numFmtId="0" fontId="7" fillId="17" borderId="0" xfId="0" applyFont="1" applyFill="1" applyBorder="1" applyAlignment="1">
      <alignment horizontal="center" vertical="center"/>
    </xf>
    <xf numFmtId="0" fontId="0" fillId="15" borderId="0" xfId="0" applyFill="1" applyBorder="1">
      <alignment vertical="center"/>
    </xf>
    <xf numFmtId="0" fontId="6" fillId="16" borderId="0" xfId="0" applyFont="1" applyFill="1" applyBorder="1" applyAlignment="1">
      <alignment horizontal="center" vertical="center"/>
    </xf>
    <xf numFmtId="0" fontId="5" fillId="15" borderId="0" xfId="0" applyFont="1" applyFill="1" applyBorder="1">
      <alignment vertical="center"/>
    </xf>
    <xf numFmtId="0" fontId="0" fillId="11" borderId="0" xfId="0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colors>
    <mruColors>
      <color rgb="FFFF9999"/>
      <color rgb="FFFFCC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B982-99F2-4114-BC72-67A953AF7178}">
  <dimension ref="A1:AA35"/>
  <sheetViews>
    <sheetView tabSelected="1" workbookViewId="0"/>
  </sheetViews>
  <sheetFormatPr defaultColWidth="15.625" defaultRowHeight="16.5" x14ac:dyDescent="0.3"/>
  <cols>
    <col min="17" max="27" width="15.625" hidden="1" customWidth="1"/>
  </cols>
  <sheetData>
    <row r="1" spans="1:27" ht="17.25" thickBo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7" x14ac:dyDescent="0.3">
      <c r="A2" s="34"/>
      <c r="B2" s="47" t="s">
        <v>10</v>
      </c>
      <c r="C2" s="48"/>
      <c r="D2" s="49"/>
      <c r="E2" s="34"/>
      <c r="F2" s="50" t="s">
        <v>9</v>
      </c>
      <c r="G2" s="51"/>
      <c r="H2" s="34"/>
      <c r="I2" s="52" t="s">
        <v>8</v>
      </c>
      <c r="J2" s="53"/>
      <c r="K2" s="54"/>
      <c r="L2" s="34"/>
      <c r="M2" s="58" t="s">
        <v>11</v>
      </c>
      <c r="N2" s="59"/>
      <c r="O2" s="37"/>
      <c r="P2" s="1"/>
      <c r="Q2" t="s">
        <v>20</v>
      </c>
      <c r="R2" t="s">
        <v>17</v>
      </c>
      <c r="S2" t="s">
        <v>19</v>
      </c>
      <c r="T2" t="s">
        <v>29</v>
      </c>
      <c r="U2" t="s">
        <v>32</v>
      </c>
      <c r="V2" t="s">
        <v>31</v>
      </c>
      <c r="W2" t="s">
        <v>30</v>
      </c>
      <c r="X2" t="s">
        <v>33</v>
      </c>
      <c r="Z2" t="s">
        <v>34</v>
      </c>
      <c r="AA2" t="s">
        <v>35</v>
      </c>
    </row>
    <row r="3" spans="1:27" x14ac:dyDescent="0.3">
      <c r="A3" s="34"/>
      <c r="B3" s="25" t="s">
        <v>3</v>
      </c>
      <c r="C3" s="26" t="s">
        <v>1</v>
      </c>
      <c r="D3" s="27" t="s">
        <v>2</v>
      </c>
      <c r="E3" s="34"/>
      <c r="F3" s="12" t="s">
        <v>0</v>
      </c>
      <c r="G3" s="13" t="s">
        <v>4</v>
      </c>
      <c r="H3" s="34"/>
      <c r="I3" s="16" t="s">
        <v>6</v>
      </c>
      <c r="J3" s="2" t="s">
        <v>5</v>
      </c>
      <c r="K3" s="17" t="s">
        <v>7</v>
      </c>
      <c r="L3" s="34"/>
      <c r="M3" s="20" t="s">
        <v>12</v>
      </c>
      <c r="N3" s="21" t="s">
        <v>41</v>
      </c>
      <c r="O3" s="37"/>
      <c r="P3" s="1"/>
      <c r="Q3" t="s">
        <v>24</v>
      </c>
      <c r="R3" t="s">
        <v>21</v>
      </c>
      <c r="S3" t="s">
        <v>26</v>
      </c>
      <c r="T3">
        <f>$B$4 + 8.5</f>
        <v>52.62</v>
      </c>
      <c r="U3">
        <f>MIN($C$4 + $G$4 + $I$4 + $J$4 + 20 + 8 + 7, 120)</f>
        <v>89.22</v>
      </c>
      <c r="V3">
        <f>MIN($C$4 + $G$4 + $I$4 + $J$4 + 20 + 8 + 7 + 10, 120)</f>
        <v>99.22</v>
      </c>
      <c r="W3">
        <f>IF(U3&gt;80, (U3-80)*1.5*(100-$F$4)/100, 0) + IF(V3&gt;80, (V3-80)*1.5*$F$4/100, 0) + $N$4 + 14 + 10 + 10 + 15</f>
        <v>82.296999999999997</v>
      </c>
      <c r="X3">
        <f>(IF(U3&gt;80, 80*(100-$F$4)/100, U3*(100-$F$4)/100) + IF(V3&gt;80, 80*$F$4/100, V3*$F$4/100))/100*(1.12*($D$4+$K$4+32)-100)</f>
        <v>142.56640000000002</v>
      </c>
      <c r="Z3">
        <f t="shared" ref="Z3:Z20" si="0">(100+T3)/100*(100+W3)/100*(100+X3)</f>
        <v>674.8723165914497</v>
      </c>
      <c r="AA3">
        <f>MATCH(MAX(Z3:Z20), Z3:Z20, 0)</f>
        <v>11</v>
      </c>
    </row>
    <row r="4" spans="1:27" ht="17.25" thickBot="1" x14ac:dyDescent="0.35">
      <c r="A4" s="34"/>
      <c r="B4" s="28">
        <v>44.12</v>
      </c>
      <c r="C4" s="29">
        <v>34.72</v>
      </c>
      <c r="D4" s="30">
        <v>216.4</v>
      </c>
      <c r="E4" s="37"/>
      <c r="F4" s="14">
        <v>89.78</v>
      </c>
      <c r="G4" s="15">
        <v>17</v>
      </c>
      <c r="H4" s="37"/>
      <c r="I4" s="18">
        <v>0</v>
      </c>
      <c r="J4" s="24">
        <v>2.5</v>
      </c>
      <c r="K4" s="19">
        <v>0</v>
      </c>
      <c r="L4" s="34"/>
      <c r="M4" s="22">
        <v>99</v>
      </c>
      <c r="N4" s="23">
        <v>6</v>
      </c>
      <c r="O4" s="37"/>
      <c r="P4" s="1"/>
      <c r="Q4" t="s">
        <v>24</v>
      </c>
      <c r="R4" t="s">
        <v>21</v>
      </c>
      <c r="S4" t="s">
        <v>27</v>
      </c>
      <c r="T4">
        <f>$B$4</f>
        <v>44.12</v>
      </c>
      <c r="U4">
        <f>MIN($C$4 + $G$4 + $I$4 + $J$4 + 20 + 8, 120)</f>
        <v>82.22</v>
      </c>
      <c r="V4">
        <f>MIN($C$4 + $G$4 + $I$4 + $J$4 + 20 + 8 + 10, 120)</f>
        <v>92.22</v>
      </c>
      <c r="W4">
        <f>IF(U4&gt;80, (U4-80)*1.5*(100-$F$4)/100, 0) + IF(V4&gt;80, (V4-80)*1.5*$F$4/100, 0) + $N$4 + 14 + 10 + 10 + 15 + 20</f>
        <v>91.796999999999997</v>
      </c>
      <c r="X4">
        <f>(IF(U4&gt;80, 80*(100-$F$4)/100, U4*(100-$F$4)/100) + IF(V4&gt;80, 80*$F$4/100, V4*$F$4/100))/100*(1.12*($D$4+$K$4+32)-100)</f>
        <v>142.56640000000002</v>
      </c>
      <c r="Z4">
        <f t="shared" si="0"/>
        <v>670.4967947133697</v>
      </c>
    </row>
    <row r="5" spans="1:27" x14ac:dyDescent="0.3">
      <c r="A5" s="34"/>
      <c r="B5" s="34"/>
      <c r="C5" s="34"/>
      <c r="D5" s="34"/>
      <c r="E5" s="34"/>
      <c r="F5" s="35"/>
      <c r="G5" s="34"/>
      <c r="H5" s="34"/>
      <c r="I5" s="34"/>
      <c r="J5" s="34"/>
      <c r="K5" s="34"/>
      <c r="L5" s="34"/>
      <c r="M5" s="36" t="s">
        <v>14</v>
      </c>
      <c r="N5" s="34"/>
      <c r="O5" s="34"/>
      <c r="Q5" t="s">
        <v>24</v>
      </c>
      <c r="R5" t="s">
        <v>21</v>
      </c>
      <c r="S5" t="s">
        <v>28</v>
      </c>
      <c r="T5">
        <f>$B$4 + 8.5</f>
        <v>52.62</v>
      </c>
      <c r="U5">
        <f>MIN($C$4 + $G$4 + $I$4 + $J$4 + 20 + 8 + 7, 120)</f>
        <v>89.22</v>
      </c>
      <c r="V5">
        <f>MIN($C$4 + $G$4 + $I$4 + $J$4 + 20 + 8 + 7 + 10, 120)</f>
        <v>99.22</v>
      </c>
      <c r="W5">
        <f>IF(U5&gt;80, (U5-80)*1.5*(100-$F$4)/100, 0) + IF(V5&gt;80, (V5-80)*1.5*$F$4/100, 0) + $N$4 + 14 + 10 + 10 + 15 + 20</f>
        <v>102.297</v>
      </c>
      <c r="X5">
        <f t="shared" ref="X5:X11" si="1">(IF(U5&gt;80, 80*(100-$F$4)/100, U5*(100-$F$4)/100) + IF(V5&gt;80, 80*$F$4/100, V5*$F$4/100))/100*($D$4+$K$4+32-100)</f>
        <v>118.72000000000001</v>
      </c>
      <c r="Z5">
        <f t="shared" si="0"/>
        <v>675.28855435808009</v>
      </c>
    </row>
    <row r="6" spans="1:27" ht="17.25" thickBot="1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6" t="s">
        <v>13</v>
      </c>
      <c r="N6" s="34"/>
      <c r="O6" s="34"/>
      <c r="Q6" t="s">
        <v>24</v>
      </c>
      <c r="R6" t="s">
        <v>22</v>
      </c>
      <c r="S6" t="s">
        <v>26</v>
      </c>
      <c r="T6">
        <f>$B$4 + 8.5</f>
        <v>52.62</v>
      </c>
      <c r="U6">
        <f>MIN($C$4 + $G$4 + $I$4 + $J$4 + 20 + 4 + 7, 120)</f>
        <v>85.22</v>
      </c>
      <c r="V6">
        <f>MIN($C$4 + $G$4 + $I$4 + $J$4 + 20 + 4 + 7 + 10, 120)</f>
        <v>95.22</v>
      </c>
      <c r="W6">
        <f>IF(U6&gt;80, (U6-80)*1.5*(100-$F$4)/100, 0) + IF(V6&gt;80, (V6-80)*1.5*$F$4/100, 0) + $N$4 + 14 + 5 + 20 + 15</f>
        <v>81.296999999999997</v>
      </c>
      <c r="X6">
        <f>(IF(U6&gt;80, 80*(100-$F$4)/100, U6*(100-$F$4)/100) + IF(V6&gt;80, 80*$F$4/100, V6*$F$4/100))/100*(1.12*($D$4+$K$4+32)-100)</f>
        <v>142.56640000000002</v>
      </c>
      <c r="Z6">
        <f t="shared" si="0"/>
        <v>671.17026819464968</v>
      </c>
    </row>
    <row r="7" spans="1:27" ht="16.5" customHeight="1" x14ac:dyDescent="0.3">
      <c r="A7" s="38"/>
      <c r="B7" s="39"/>
      <c r="C7" s="39"/>
      <c r="D7" s="39"/>
      <c r="E7" s="46" t="s">
        <v>44</v>
      </c>
      <c r="F7" s="46"/>
      <c r="G7" s="46"/>
      <c r="H7" s="39"/>
      <c r="I7" s="39"/>
      <c r="J7" s="39"/>
      <c r="K7" s="39"/>
      <c r="L7" s="39"/>
      <c r="M7" s="39"/>
      <c r="N7" s="39"/>
      <c r="O7" s="40"/>
      <c r="Q7" t="s">
        <v>24</v>
      </c>
      <c r="R7" t="s">
        <v>22</v>
      </c>
      <c r="S7" t="s">
        <v>27</v>
      </c>
      <c r="T7">
        <f>$B$4</f>
        <v>44.12</v>
      </c>
      <c r="U7">
        <f>MIN($C$4 + $G$4 + $I$4 + $J$4 + 20 + 4, 120)</f>
        <v>78.22</v>
      </c>
      <c r="V7">
        <f>MIN($C$4 + $G$4 + $I$4 + $J$4 + 20 + 4 + 10, 120)</f>
        <v>88.22</v>
      </c>
      <c r="W7">
        <f>IF(U7&gt;80, (U7-80)*1.5*(100-$F$4)/100, 0) + IF(V7&gt;80, (V7-80)*1.5*$F$4/100, 0) + $N$4 + 14 + 5 + 20 + 15 + 20</f>
        <v>91.069873999999999</v>
      </c>
      <c r="X7">
        <f>(IF(U7&gt;80, 80*(100-$F$4)/100, U7*(100-$F$4)/100) + IF(V7&gt;80, 80*$F$4/100, V7*$F$4/100))/100*(1.12*($D$4+$K$4+32)-100)</f>
        <v>142.24221113472001</v>
      </c>
      <c r="Z7">
        <f t="shared" si="0"/>
        <v>667.06214039459769</v>
      </c>
    </row>
    <row r="8" spans="1:27" ht="17.25" customHeight="1" x14ac:dyDescent="0.3">
      <c r="A8" s="41"/>
      <c r="B8" s="73"/>
      <c r="C8" s="73"/>
      <c r="D8" s="73"/>
      <c r="E8" s="74"/>
      <c r="F8" s="74"/>
      <c r="G8" s="74"/>
      <c r="H8" s="73"/>
      <c r="I8" s="73"/>
      <c r="J8" s="73"/>
      <c r="K8" s="73"/>
      <c r="L8" s="73"/>
      <c r="M8" s="73"/>
      <c r="N8" s="73"/>
      <c r="O8" s="42"/>
      <c r="Q8" t="s">
        <v>24</v>
      </c>
      <c r="R8" t="s">
        <v>22</v>
      </c>
      <c r="S8" t="s">
        <v>28</v>
      </c>
      <c r="T8">
        <f>$B$4 + 8.5</f>
        <v>52.62</v>
      </c>
      <c r="U8">
        <f>MIN($C$4 + $G$4 + $I$4 + $J$4 + 20 + 4 + 7, 120)</f>
        <v>85.22</v>
      </c>
      <c r="V8">
        <f>MIN($C$4 + $G$4 + $I$4 + $J$4 + 20 + 4 + 7 + 10, 120)</f>
        <v>95.22</v>
      </c>
      <c r="W8">
        <f>IF(U8&gt;80, (U8-80)*1.5*(100-$F$4)/100, 0) + IF(V8&gt;80, (V8-80)*1.5*$F$4/100, 0) + $N$4 + 14 + 5 + 20 + 15 + 20</f>
        <v>101.297</v>
      </c>
      <c r="X8">
        <f t="shared" si="1"/>
        <v>118.72000000000001</v>
      </c>
      <c r="Z8">
        <f t="shared" si="0"/>
        <v>671.95044971808011</v>
      </c>
    </row>
    <row r="9" spans="1:27" x14ac:dyDescent="0.3">
      <c r="A9" s="41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42"/>
      <c r="Q9" t="s">
        <v>24</v>
      </c>
      <c r="R9" t="s">
        <v>23</v>
      </c>
      <c r="S9" t="s">
        <v>26</v>
      </c>
      <c r="T9">
        <f>$B$4 + 8.5</f>
        <v>52.62</v>
      </c>
      <c r="U9">
        <f>MIN($C$4 + $G$4 + $I$4 + $J$4 + 20 + 7, 120)</f>
        <v>81.22</v>
      </c>
      <c r="V9">
        <f>MIN($C$4 + $G$4 + $I$4 + $J$4 + 20 + 7 + 10, 120)</f>
        <v>91.22</v>
      </c>
      <c r="W9">
        <f>IF(U9&gt;80, (U9-80)*1.5*(100-$F$4)/100, 0) + IF(V9&gt;80, (V9-80)*1.5*$F$4/100, 0) + $N$4 + 14 + 30 + 15</f>
        <v>80.296999999999997</v>
      </c>
      <c r="X9">
        <f>(IF(U9&gt;80, 80*(100-$F$4)/100, U9*(100-$F$4)/100) + IF(V9&gt;80, 80*$F$4/100, V9*$F$4/100))/100*(1.12*($D$4+$K$4+32)-100)</f>
        <v>142.56640000000002</v>
      </c>
      <c r="Z9">
        <f t="shared" si="0"/>
        <v>667.46821979784966</v>
      </c>
    </row>
    <row r="10" spans="1:27" x14ac:dyDescent="0.3">
      <c r="A10" s="4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42"/>
      <c r="Q10" t="s">
        <v>24</v>
      </c>
      <c r="R10" t="s">
        <v>23</v>
      </c>
      <c r="S10" t="s">
        <v>27</v>
      </c>
      <c r="T10">
        <f>$B$4</f>
        <v>44.12</v>
      </c>
      <c r="U10">
        <f>MIN($C$4 + $G$4 + $I$4 + $J$4 + 20, 120)</f>
        <v>74.22</v>
      </c>
      <c r="V10">
        <f>MIN($C$4 + $G$4 + $I$4 + $J$4 + 20 + 10, 120)</f>
        <v>84.22</v>
      </c>
      <c r="W10">
        <f>IF(U10&gt;80, (U10-80)*1.5*(100-$F$4)/100, 0) + IF(V10&gt;80, (V10-80)*1.5*$F$4/100, 0) + $N$4 + 14 + 30 + 15 + 20</f>
        <v>90.683074000000005</v>
      </c>
      <c r="X10">
        <f>(IF(U10&gt;80, 80*(100-$F$4)/100, U10*(100-$F$4)/100) + IF(V10&gt;80, 80*$F$4/100, V10*$F$4/100))/100*(1.12*($D$4+$K$4+32)-100)</f>
        <v>141.51369683072002</v>
      </c>
      <c r="Z10">
        <f t="shared" si="0"/>
        <v>663.70969828641228</v>
      </c>
    </row>
    <row r="11" spans="1:27" x14ac:dyDescent="0.3">
      <c r="A11" s="41"/>
      <c r="B11" s="73"/>
      <c r="C11" s="73"/>
      <c r="D11" s="75"/>
      <c r="E11" s="72" t="s">
        <v>45</v>
      </c>
      <c r="F11" s="72"/>
      <c r="G11" s="72"/>
      <c r="H11" s="73"/>
      <c r="I11" s="73"/>
      <c r="J11" s="73"/>
      <c r="K11" s="73"/>
      <c r="L11" s="73"/>
      <c r="M11" s="73"/>
      <c r="N11" s="73"/>
      <c r="O11" s="42"/>
      <c r="Q11" t="s">
        <v>24</v>
      </c>
      <c r="R11" t="s">
        <v>23</v>
      </c>
      <c r="S11" t="s">
        <v>28</v>
      </c>
      <c r="T11">
        <f>$B$4 + 8.5</f>
        <v>52.62</v>
      </c>
      <c r="U11">
        <f>MIN($C$4 + $G$4 + $I$4 + $J$4 + 20 + 7, 120)</f>
        <v>81.22</v>
      </c>
      <c r="V11">
        <f>MIN($C$4 + $G$4 + $I$4 + $J$4 + 20 + 7 + 10, 120)</f>
        <v>91.22</v>
      </c>
      <c r="W11">
        <f>IF(U11&gt;80, (U11-80)*1.5*(100-$F$4)/100, 0) + IF(V11&gt;80, (V11-80)*1.5*$F$4/100, 0) + $N$4 + 14 + 30 + 15 + 20</f>
        <v>100.297</v>
      </c>
      <c r="X11">
        <f t="shared" si="1"/>
        <v>118.72000000000001</v>
      </c>
      <c r="Z11">
        <f t="shared" si="0"/>
        <v>668.61234507808012</v>
      </c>
      <c r="AA11" t="s">
        <v>40</v>
      </c>
    </row>
    <row r="12" spans="1:27" ht="17.25" thickBot="1" x14ac:dyDescent="0.35">
      <c r="A12" s="41"/>
      <c r="B12" s="71"/>
      <c r="C12" s="71"/>
      <c r="D12" s="71"/>
      <c r="E12" s="71"/>
      <c r="F12" s="71"/>
      <c r="G12" s="71"/>
      <c r="H12" s="71"/>
      <c r="I12" s="71"/>
      <c r="J12" s="71"/>
      <c r="K12" s="73"/>
      <c r="L12" s="73"/>
      <c r="M12" s="73"/>
      <c r="N12" s="73"/>
      <c r="O12" s="42"/>
      <c r="Q12" t="s">
        <v>25</v>
      </c>
      <c r="R12" t="s">
        <v>21</v>
      </c>
      <c r="S12" t="s">
        <v>26</v>
      </c>
      <c r="T12">
        <f>$B$4 + 8.5</f>
        <v>52.62</v>
      </c>
      <c r="U12">
        <f>MIN($C$4 + $G$4 + $I$4 + $J$4 + 20 + 8 + 7, 100)</f>
        <v>89.22</v>
      </c>
      <c r="V12">
        <f>MIN($C$4 + $G$4 + $I$4 + $J$4 + 20 + 8 + 7 + 10, 100)</f>
        <v>99.22</v>
      </c>
      <c r="W12">
        <f>$N$4 + 14 + 10 + 10 + 12 + $M$4*9/100</f>
        <v>60.91</v>
      </c>
      <c r="X12">
        <f>(U12*(100-$F$4)/100 + V12*$F$4/100)/100*(1.12*($D$4+$K$4+32)-100)</f>
        <v>174.99669184000004</v>
      </c>
      <c r="Z12">
        <f t="shared" si="0"/>
        <v>675.3391912928173</v>
      </c>
      <c r="AA12">
        <f>MATCH(MAX(Z12:Z20), Z3:Z20, 0)</f>
        <v>11</v>
      </c>
    </row>
    <row r="13" spans="1:27" x14ac:dyDescent="0.3">
      <c r="A13" s="41"/>
      <c r="B13" s="71"/>
      <c r="C13" s="55" t="s">
        <v>15</v>
      </c>
      <c r="D13" s="56"/>
      <c r="E13" s="56"/>
      <c r="F13" s="56"/>
      <c r="G13" s="56"/>
      <c r="H13" s="56"/>
      <c r="I13" s="57"/>
      <c r="J13" s="71"/>
      <c r="K13" s="73"/>
      <c r="L13" s="73"/>
      <c r="M13" s="73"/>
      <c r="N13" s="73"/>
      <c r="O13" s="42"/>
      <c r="Q13" t="s">
        <v>25</v>
      </c>
      <c r="R13" t="s">
        <v>21</v>
      </c>
      <c r="S13" t="s">
        <v>27</v>
      </c>
      <c r="T13">
        <f>$B$4</f>
        <v>44.12</v>
      </c>
      <c r="U13">
        <f>MIN($C$4 + $G$4 + $I$4 + $J$4 + 20 + 8, 100)</f>
        <v>82.22</v>
      </c>
      <c r="V13">
        <f>MIN($C$4 + $G$4 + $I$4 + $J$4 + 20 + 8 + 10, 100)</f>
        <v>92.22</v>
      </c>
      <c r="W13">
        <f>$N$4 + 14 + 10 + 10 + 12 + 20 + $M$4*9/100</f>
        <v>80.91</v>
      </c>
      <c r="X13">
        <f>(U13*(100-$F$4)/100 + V13*$F$4/100)/100*(1.12*($D$4+$K$4+32)-100)</f>
        <v>162.52213184000001</v>
      </c>
      <c r="Z13">
        <f t="shared" si="0"/>
        <v>684.46737029136557</v>
      </c>
    </row>
    <row r="14" spans="1:27" x14ac:dyDescent="0.3">
      <c r="A14" s="41"/>
      <c r="B14" s="71"/>
      <c r="C14" s="6" t="s">
        <v>16</v>
      </c>
      <c r="D14" s="5" t="s">
        <v>36</v>
      </c>
      <c r="E14" s="5" t="s">
        <v>37</v>
      </c>
      <c r="F14" s="4"/>
      <c r="G14" s="5" t="s">
        <v>38</v>
      </c>
      <c r="H14" s="4"/>
      <c r="I14" s="7"/>
      <c r="J14" s="71"/>
      <c r="K14" s="73"/>
      <c r="L14" s="73"/>
      <c r="M14" s="73"/>
      <c r="N14" s="73"/>
      <c r="O14" s="42"/>
      <c r="Q14" t="s">
        <v>25</v>
      </c>
      <c r="R14" t="s">
        <v>21</v>
      </c>
      <c r="S14" t="s">
        <v>28</v>
      </c>
      <c r="T14">
        <f>$B$4 + 8.5</f>
        <v>52.62</v>
      </c>
      <c r="U14">
        <f>MIN($C$4 + $G$4 + $I$4 + $J$4 + 20 + 8 + 7, 100)</f>
        <v>89.22</v>
      </c>
      <c r="V14">
        <f>MIN($C$4 + $G$4 + $I$4 + $J$4 + 20 + 8 + 7 + 10, 100)</f>
        <v>99.22</v>
      </c>
      <c r="W14">
        <f>$N$4 + 14 + 10 + 10 + 12 + 20 + $M$4*9/100</f>
        <v>80.91</v>
      </c>
      <c r="X14">
        <f t="shared" ref="X14:X20" si="2">(U14*(100-$F$4)/100 + V14*$F$4/100)/100*($D$4+$K$4+32-100)</f>
        <v>145.72583200000003</v>
      </c>
      <c r="Z14">
        <f t="shared" si="0"/>
        <v>678.46092019678554</v>
      </c>
    </row>
    <row r="15" spans="1:27" ht="17.25" thickBot="1" x14ac:dyDescent="0.35">
      <c r="A15" s="41"/>
      <c r="B15" s="71"/>
      <c r="C15" s="6" t="s">
        <v>17</v>
      </c>
      <c r="D15" s="4"/>
      <c r="E15" s="4"/>
      <c r="F15" s="3" t="str">
        <f>IF(OR(AA3=1, AA3=2, AA3=3, AA3=10, AA3=11, AA3=12), "예감2", IF(OR(AA3=4, AA3=5, AA3=6, AA3=13, AA3=14, AA3=15), "예감1", "X"))</f>
        <v>예감2</v>
      </c>
      <c r="G15" s="3" t="str">
        <f>IF(OR(AA3=1, AA3=2, AA3=3, AA3=10, AA3=11, AA3=12), "한돌1", IF(OR(AA3=4, AA3=5, AA3=6, AA3=13, AA3=14, AA3=15), "한돌2", "한돌3"))</f>
        <v>한돌1</v>
      </c>
      <c r="H15" s="4"/>
      <c r="I15" s="7"/>
      <c r="J15" s="71"/>
      <c r="K15" s="73"/>
      <c r="L15" s="73"/>
      <c r="M15" s="73"/>
      <c r="N15" s="73"/>
      <c r="O15" s="42"/>
      <c r="Q15" t="s">
        <v>25</v>
      </c>
      <c r="R15" t="s">
        <v>22</v>
      </c>
      <c r="S15" t="s">
        <v>26</v>
      </c>
      <c r="T15">
        <f>$B$4 + 8.5</f>
        <v>52.62</v>
      </c>
      <c r="U15">
        <f>MIN($C$4 + $G$4 + $I$4 + $J$4 + 20 + 4 + 7, 100)</f>
        <v>85.22</v>
      </c>
      <c r="V15">
        <f>MIN($C$4 + $G$4 + $I$4 + $J$4 + 20 + 4 + 7 + 10, 100)</f>
        <v>95.22</v>
      </c>
      <c r="W15">
        <f>$N$4 + 14 + 5 + 20 + 12 + $M$4*9/100</f>
        <v>65.91</v>
      </c>
      <c r="X15">
        <f>(U15*(100-$F$4)/100 + V15*$F$4/100)/100*(1.12*($D$4+$K$4+32)-100)</f>
        <v>167.86837184000004</v>
      </c>
      <c r="Z15">
        <f t="shared" si="0"/>
        <v>678.27443847147322</v>
      </c>
    </row>
    <row r="16" spans="1:27" x14ac:dyDescent="0.3">
      <c r="A16" s="41"/>
      <c r="B16" s="71"/>
      <c r="C16" s="6" t="s">
        <v>18</v>
      </c>
      <c r="D16" s="4"/>
      <c r="E16" s="4"/>
      <c r="F16" s="5" t="s">
        <v>39</v>
      </c>
      <c r="G16" s="4"/>
      <c r="H16" s="4"/>
      <c r="I16" s="7"/>
      <c r="J16" s="71"/>
      <c r="K16" s="73"/>
      <c r="L16" s="60" t="s">
        <v>43</v>
      </c>
      <c r="M16" s="61"/>
      <c r="N16" s="61"/>
      <c r="O16" s="62"/>
      <c r="Q16" t="s">
        <v>25</v>
      </c>
      <c r="R16" t="s">
        <v>22</v>
      </c>
      <c r="S16" t="s">
        <v>27</v>
      </c>
      <c r="T16">
        <f>$B$4</f>
        <v>44.12</v>
      </c>
      <c r="U16">
        <f>MIN($C$4 + $G$4 + $I$4 + $J$4 + 20 + 4, 100)</f>
        <v>78.22</v>
      </c>
      <c r="V16">
        <f>MIN($C$4 + $G$4 + $I$4 + $J$4 + 20 + 4 + 10, 100)</f>
        <v>88.22</v>
      </c>
      <c r="W16">
        <f>$N$4 + 14 + 5 + 20 + 12 + 20 + $M$4*9/100</f>
        <v>85.91</v>
      </c>
      <c r="X16">
        <f>(U16*(100-$F$4)/100 + V16*$F$4/100)/100*(1.12*($D$4+$K$4+32)-100)</f>
        <v>155.39381184000001</v>
      </c>
      <c r="Z16">
        <f t="shared" si="0"/>
        <v>684.28555841482148</v>
      </c>
    </row>
    <row r="17" spans="1:26" x14ac:dyDescent="0.3">
      <c r="A17" s="41"/>
      <c r="B17" s="71"/>
      <c r="C17" s="6" t="s">
        <v>19</v>
      </c>
      <c r="D17" s="3" t="str">
        <f>IF(OR(AA3=1, AA3=2, AA3=4, AA3=5, AA3=7, AA3=8, AA3=10, AA3=11, AA3=13, AA3=14, AA3=16, AA3=17), "회심", "X")</f>
        <v>회심</v>
      </c>
      <c r="E17" s="3" t="str">
        <f>IF(OR(AA3=1, AA3=3, AA3=4, AA3=6, AA3=7, AA3=9, AA3=10, AA3=12, AA3=13, AA3=15, AA3=16, AA3=18), "달인", "X")</f>
        <v>X</v>
      </c>
      <c r="F17" s="3" t="str">
        <f>IF(OR(AA3=2, AA3=3, AA3=5, AA3=6, AA3=8, AA3=9, AA3=11, AA3=12, AA3=14, AA3=15, AA3=17, AA3=18), "분쇄", "X")</f>
        <v>분쇄</v>
      </c>
      <c r="G17" s="4"/>
      <c r="H17" s="4"/>
      <c r="I17" s="7"/>
      <c r="J17" s="71"/>
      <c r="K17" s="73"/>
      <c r="L17" s="63"/>
      <c r="M17" s="76"/>
      <c r="N17" s="76"/>
      <c r="O17" s="64"/>
      <c r="Q17" t="s">
        <v>25</v>
      </c>
      <c r="R17" t="s">
        <v>22</v>
      </c>
      <c r="S17" t="s">
        <v>28</v>
      </c>
      <c r="T17">
        <f>$B$4 + 8.5</f>
        <v>52.62</v>
      </c>
      <c r="U17">
        <f>MIN($C$4 + $G$4 + $I$4 + $J$4 + 20 + 4 + 7, 100)</f>
        <v>85.22</v>
      </c>
      <c r="V17">
        <f>MIN($C$4 + $G$4 + $I$4 + $J$4 + 20 + 4 + 7 + 10, 100)</f>
        <v>95.22</v>
      </c>
      <c r="W17">
        <f>$N$4 + 14 + 5 + 20 + 12 + 20 + $M$4*9/100</f>
        <v>85.91</v>
      </c>
      <c r="X17">
        <f t="shared" si="2"/>
        <v>139.78983200000002</v>
      </c>
      <c r="Z17">
        <f t="shared" si="0"/>
        <v>680.3696988555854</v>
      </c>
    </row>
    <row r="18" spans="1:26" ht="17.25" thickBot="1" x14ac:dyDescent="0.35">
      <c r="A18" s="41"/>
      <c r="B18" s="71"/>
      <c r="C18" s="8" t="s">
        <v>20</v>
      </c>
      <c r="D18" s="9" t="str">
        <f>IF(AA3&lt;10, "뭉가2", "X")</f>
        <v>X</v>
      </c>
      <c r="E18" s="10"/>
      <c r="F18" s="10"/>
      <c r="G18" s="9" t="str">
        <f>IF(AA3&lt;10, "X", "입타2")</f>
        <v>입타2</v>
      </c>
      <c r="H18" s="10"/>
      <c r="I18" s="11"/>
      <c r="J18" s="71"/>
      <c r="K18" s="73"/>
      <c r="L18" s="63"/>
      <c r="M18" s="76"/>
      <c r="N18" s="76"/>
      <c r="O18" s="64"/>
      <c r="Q18" t="s">
        <v>25</v>
      </c>
      <c r="R18" t="s">
        <v>23</v>
      </c>
      <c r="S18" t="s">
        <v>26</v>
      </c>
      <c r="T18">
        <f>$B$4 + 8.5</f>
        <v>52.62</v>
      </c>
      <c r="U18">
        <f>MIN($C$4 + $G$4 + $I$4 + $J$4 + 20 + 7, 100)</f>
        <v>81.22</v>
      </c>
      <c r="V18">
        <f>MIN($C$4 + $G$4 + $I$4 + $J$4 + 20 + 7 + 10, 100)</f>
        <v>91.22</v>
      </c>
      <c r="W18">
        <f>$N$4 + 14 + 30 + 12 + $M$4*9/100</f>
        <v>70.91</v>
      </c>
      <c r="X18">
        <f>(U18*(100-$F$4)/100 + V18*$F$4/100)/100*(1.12*($D$4+$K$4+32)-100)</f>
        <v>160.74005184000004</v>
      </c>
      <c r="Z18">
        <f t="shared" si="0"/>
        <v>680.12176145172941</v>
      </c>
    </row>
    <row r="19" spans="1:26" x14ac:dyDescent="0.3">
      <c r="A19" s="41"/>
      <c r="B19" s="71"/>
      <c r="C19" s="71"/>
      <c r="D19" s="71"/>
      <c r="E19" s="71"/>
      <c r="F19" s="71"/>
      <c r="G19" s="71"/>
      <c r="H19" s="71"/>
      <c r="I19" s="71"/>
      <c r="J19" s="71"/>
      <c r="K19" s="73"/>
      <c r="L19" s="63"/>
      <c r="M19" s="76"/>
      <c r="N19" s="76"/>
      <c r="O19" s="64"/>
      <c r="Q19" t="s">
        <v>25</v>
      </c>
      <c r="R19" t="s">
        <v>23</v>
      </c>
      <c r="S19" t="s">
        <v>27</v>
      </c>
      <c r="T19">
        <f>$B$4</f>
        <v>44.12</v>
      </c>
      <c r="U19">
        <f>MIN($C$4 + $G$4 + $I$4 + $J$4 + 20, 100)</f>
        <v>74.22</v>
      </c>
      <c r="V19">
        <f>MIN($C$4 + $G$4 + $I$4 + $J$4 + 20 + 10, 100)</f>
        <v>84.22</v>
      </c>
      <c r="W19">
        <f>$N$4 + 14 + 30 + 12 + 20 + $M$4*9/100</f>
        <v>90.91</v>
      </c>
      <c r="X19">
        <f>(U19*(100-$F$4)/100 + V19*$F$4/100)/100*(1.12*($D$4+$K$4+32)-100)</f>
        <v>148.26549184000004</v>
      </c>
      <c r="Z19">
        <f t="shared" si="0"/>
        <v>683.07641305987761</v>
      </c>
    </row>
    <row r="20" spans="1:26" x14ac:dyDescent="0.3">
      <c r="A20" s="41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63"/>
      <c r="M20" s="76"/>
      <c r="N20" s="76"/>
      <c r="O20" s="64"/>
      <c r="Q20" t="s">
        <v>25</v>
      </c>
      <c r="R20" t="s">
        <v>23</v>
      </c>
      <c r="S20" t="s">
        <v>28</v>
      </c>
      <c r="T20">
        <f>$B$4 + 8.5</f>
        <v>52.62</v>
      </c>
      <c r="U20">
        <f>MIN($C$4 + $G$4 + $I$4 + $J$4 + 20 + 7, 100)</f>
        <v>81.22</v>
      </c>
      <c r="V20">
        <f>MIN($C$4 + $G$4 + $I$4 + $J$4 + 20 + 7 + 10, 100)</f>
        <v>91.22</v>
      </c>
      <c r="W20">
        <f>$N$4 + 14 + 30 + 12 + 20 + $M$4*9/100</f>
        <v>90.91</v>
      </c>
      <c r="X20">
        <f t="shared" si="2"/>
        <v>133.85383200000001</v>
      </c>
      <c r="Z20">
        <f t="shared" si="0"/>
        <v>681.3725251943855</v>
      </c>
    </row>
    <row r="21" spans="1:26" x14ac:dyDescent="0.3">
      <c r="A21" s="41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63"/>
      <c r="M21" s="76"/>
      <c r="N21" s="76"/>
      <c r="O21" s="64"/>
    </row>
    <row r="22" spans="1:26" x14ac:dyDescent="0.3">
      <c r="A22" s="41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63"/>
      <c r="M22" s="76"/>
      <c r="N22" s="76"/>
      <c r="O22" s="64"/>
    </row>
    <row r="23" spans="1:26" x14ac:dyDescent="0.3">
      <c r="A23" s="41"/>
      <c r="B23" s="73"/>
      <c r="C23" s="73"/>
      <c r="D23" s="73"/>
      <c r="E23" s="73"/>
      <c r="F23" s="73"/>
      <c r="G23" s="73"/>
      <c r="H23" s="73"/>
      <c r="I23" s="68" t="str">
        <f>IF(AA3&lt;10, "그런데 뭉가 끼면", "원래 입타에요")</f>
        <v>원래 입타에요</v>
      </c>
      <c r="J23" s="68"/>
      <c r="K23" s="73"/>
      <c r="L23" s="63"/>
      <c r="M23" s="76"/>
      <c r="N23" s="76"/>
      <c r="O23" s="64"/>
    </row>
    <row r="24" spans="1:26" ht="17.25" thickBot="1" x14ac:dyDescent="0.35">
      <c r="A24" s="41"/>
      <c r="B24" s="73"/>
      <c r="C24" s="73"/>
      <c r="D24" s="73"/>
      <c r="E24" s="68" t="s">
        <v>42</v>
      </c>
      <c r="F24" s="68"/>
      <c r="G24" s="68"/>
      <c r="H24" s="73"/>
      <c r="I24" s="70" t="str">
        <f>IF(AA3&lt;10, (MAX(Z3:Z20)/MAX(Z12:Z20)-1)*100, "")</f>
        <v/>
      </c>
      <c r="J24" s="69" t="str">
        <f>IF(AA3&lt;10, "% 더세요", "")</f>
        <v/>
      </c>
      <c r="K24" s="73"/>
      <c r="L24" s="65"/>
      <c r="M24" s="66"/>
      <c r="N24" s="66"/>
      <c r="O24" s="67"/>
    </row>
    <row r="25" spans="1:26" ht="17.25" thickBot="1" x14ac:dyDescent="0.35">
      <c r="A25" s="41"/>
      <c r="B25" s="68"/>
      <c r="C25" s="68"/>
      <c r="D25" s="68"/>
      <c r="E25" s="68"/>
      <c r="F25" s="68"/>
      <c r="G25" s="68"/>
      <c r="H25" s="68"/>
      <c r="I25" s="68"/>
      <c r="J25" s="68"/>
      <c r="K25" s="73"/>
      <c r="L25" s="73"/>
      <c r="M25" s="73"/>
      <c r="N25" s="73"/>
      <c r="O25" s="42"/>
    </row>
    <row r="26" spans="1:26" x14ac:dyDescent="0.3">
      <c r="A26" s="41"/>
      <c r="B26" s="68"/>
      <c r="C26" s="31" t="s">
        <v>15</v>
      </c>
      <c r="D26" s="32"/>
      <c r="E26" s="32"/>
      <c r="F26" s="32"/>
      <c r="G26" s="32"/>
      <c r="H26" s="32"/>
      <c r="I26" s="33"/>
      <c r="J26" s="68"/>
      <c r="K26" s="73"/>
      <c r="L26" s="73"/>
      <c r="M26" s="73"/>
      <c r="N26" s="73"/>
      <c r="O26" s="42"/>
    </row>
    <row r="27" spans="1:26" x14ac:dyDescent="0.3">
      <c r="A27" s="41"/>
      <c r="B27" s="68"/>
      <c r="C27" s="6" t="s">
        <v>16</v>
      </c>
      <c r="D27" s="5" t="s">
        <v>36</v>
      </c>
      <c r="E27" s="5" t="s">
        <v>37</v>
      </c>
      <c r="F27" s="4"/>
      <c r="G27" s="5" t="s">
        <v>38</v>
      </c>
      <c r="H27" s="4"/>
      <c r="I27" s="7"/>
      <c r="J27" s="68"/>
      <c r="K27" s="73"/>
      <c r="L27" s="73"/>
      <c r="M27" s="73"/>
      <c r="N27" s="73"/>
      <c r="O27" s="42"/>
    </row>
    <row r="28" spans="1:26" x14ac:dyDescent="0.3">
      <c r="A28" s="41"/>
      <c r="B28" s="68"/>
      <c r="C28" s="6" t="s">
        <v>17</v>
      </c>
      <c r="D28" s="4"/>
      <c r="E28" s="4"/>
      <c r="F28" s="3" t="str">
        <f>IF(OR(AA12=1, AA12=2, AA12=3, AA12=10, AA12=11, AA12=12), "예감2", IF(OR(AA12=4, AA12=5, AA12=6, AA12=13, AA12=14, AA12=15), "예감1", "X"))</f>
        <v>예감2</v>
      </c>
      <c r="G28" s="3" t="str">
        <f>IF(OR(AA12=1, AA12=2, AA12=3, AA12=10, AA12=11, AA12=12), "한돌1", IF(OR(AA12=4, AA12=5, AA12=6, AA12=13, AA12=14, AA12=15), "한돌2", "한돌3"))</f>
        <v>한돌1</v>
      </c>
      <c r="H28" s="4"/>
      <c r="I28" s="7"/>
      <c r="J28" s="68"/>
      <c r="K28" s="73"/>
      <c r="L28" s="73"/>
      <c r="M28" s="73"/>
      <c r="N28" s="73"/>
      <c r="O28" s="42"/>
    </row>
    <row r="29" spans="1:26" x14ac:dyDescent="0.3">
      <c r="A29" s="41"/>
      <c r="B29" s="68"/>
      <c r="C29" s="6" t="s">
        <v>18</v>
      </c>
      <c r="D29" s="4"/>
      <c r="E29" s="4"/>
      <c r="F29" s="5" t="s">
        <v>39</v>
      </c>
      <c r="G29" s="4"/>
      <c r="H29" s="4"/>
      <c r="I29" s="7"/>
      <c r="J29" s="68"/>
      <c r="K29" s="73"/>
      <c r="L29" s="73"/>
      <c r="M29" s="73"/>
      <c r="N29" s="73"/>
      <c r="O29" s="42"/>
    </row>
    <row r="30" spans="1:26" x14ac:dyDescent="0.3">
      <c r="A30" s="41"/>
      <c r="B30" s="68"/>
      <c r="C30" s="6" t="s">
        <v>19</v>
      </c>
      <c r="D30" s="3" t="str">
        <f>IF(OR(AA12=1, AA12=2, AA12=4, AA12=5, AA12=7, AA12=8, AA12=10, AA12=11, AA12=13, AA12=14, AA12=16, AA12=17), "회심", "X")</f>
        <v>회심</v>
      </c>
      <c r="E30" s="3" t="str">
        <f>IF(OR(AA12=1, AA12=3, AA12=4, AA12=6, AA12=7, AA12=9, AA12=10, AA12=12, AA12=13, AA12=15, AA12=16, AA12=18), "달인", "X")</f>
        <v>X</v>
      </c>
      <c r="F30" s="3" t="str">
        <f>IF(OR(AA12=2, AA12=3, AA12=5, AA12=6, AA12=8, AA12=9, AA12=11, AA12=12, AA12=14, AA12=15, AA12=17, AA12=18), "분쇄", "X")</f>
        <v>분쇄</v>
      </c>
      <c r="G30" s="4"/>
      <c r="H30" s="4"/>
      <c r="I30" s="7"/>
      <c r="J30" s="68"/>
      <c r="K30" s="73"/>
      <c r="L30" s="73"/>
      <c r="M30" s="73"/>
      <c r="N30" s="73"/>
      <c r="O30" s="42"/>
    </row>
    <row r="31" spans="1:26" ht="17.25" thickBot="1" x14ac:dyDescent="0.35">
      <c r="A31" s="41"/>
      <c r="B31" s="68"/>
      <c r="C31" s="8" t="s">
        <v>20</v>
      </c>
      <c r="D31" s="9" t="str">
        <f>IF(AA12&lt;10, "뭉가2", "X")</f>
        <v>X</v>
      </c>
      <c r="E31" s="10"/>
      <c r="F31" s="10"/>
      <c r="G31" s="9" t="str">
        <f>IF(AA12&lt;10, "X", "입타2")</f>
        <v>입타2</v>
      </c>
      <c r="H31" s="10"/>
      <c r="I31" s="11"/>
      <c r="J31" s="68"/>
      <c r="K31" s="73"/>
      <c r="L31" s="73"/>
      <c r="M31" s="73"/>
      <c r="N31" s="73"/>
      <c r="O31" s="42"/>
    </row>
    <row r="32" spans="1:26" x14ac:dyDescent="0.3">
      <c r="A32" s="41"/>
      <c r="B32" s="68"/>
      <c r="C32" s="68"/>
      <c r="D32" s="68"/>
      <c r="E32" s="68"/>
      <c r="F32" s="68"/>
      <c r="G32" s="68"/>
      <c r="H32" s="68"/>
      <c r="I32" s="68"/>
      <c r="J32" s="68"/>
      <c r="K32" s="73"/>
      <c r="L32" s="73"/>
      <c r="M32" s="73"/>
      <c r="N32" s="73"/>
      <c r="O32" s="42"/>
    </row>
    <row r="33" spans="1:15" x14ac:dyDescent="0.3">
      <c r="A33" s="41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42"/>
    </row>
    <row r="34" spans="1:15" x14ac:dyDescent="0.3">
      <c r="A34" s="41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42"/>
    </row>
    <row r="35" spans="1:15" ht="17.25" thickBot="1" x14ac:dyDescent="0.3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5"/>
    </row>
  </sheetData>
  <mergeCells count="18">
    <mergeCell ref="M2:N2"/>
    <mergeCell ref="B12:J12"/>
    <mergeCell ref="B13:B18"/>
    <mergeCell ref="J13:J18"/>
    <mergeCell ref="E11:G11"/>
    <mergeCell ref="L16:O24"/>
    <mergeCell ref="E24:G24"/>
    <mergeCell ref="I23:J23"/>
    <mergeCell ref="B19:J19"/>
    <mergeCell ref="B32:J32"/>
    <mergeCell ref="E7:G8"/>
    <mergeCell ref="B2:D2"/>
    <mergeCell ref="F2:G2"/>
    <mergeCell ref="I2:K2"/>
    <mergeCell ref="C13:I13"/>
    <mergeCell ref="J26:J31"/>
    <mergeCell ref="B26:B31"/>
    <mergeCell ref="B25:J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완 서</dc:creator>
  <cp:lastModifiedBy>완 서</cp:lastModifiedBy>
  <dcterms:created xsi:type="dcterms:W3CDTF">2025-12-15T18:00:17Z</dcterms:created>
  <dcterms:modified xsi:type="dcterms:W3CDTF">2025-12-20T18:50:53Z</dcterms:modified>
</cp:coreProperties>
</file>