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Z:\로아\"/>
    </mc:Choice>
  </mc:AlternateContent>
  <xr:revisionPtr revIDLastSave="0" documentId="13_ncr:1_{6BFB17AF-337E-4888-AB3D-3123B935825F}" xr6:coauthVersionLast="47" xr6:coauthVersionMax="47" xr10:uidLastSave="{00000000-0000-0000-0000-000000000000}"/>
  <bookViews>
    <workbookView xWindow="-120" yWindow="-120" windowWidth="29040" windowHeight="15840" xr2:uid="{F2FA6996-1E8F-4E31-B5BB-C56AD09AA2F0}"/>
  </bookViews>
  <sheets>
    <sheet name="인파본캐" sheetId="1" r:id="rId1"/>
    <sheet name="인파부캐" sheetId="7" r:id="rId2"/>
    <sheet name="초심" sheetId="8" r:id="rId3"/>
    <sheet name="절제" sheetId="9" r:id="rId4"/>
    <sheet name="블레" sheetId="10" r:id="rId5"/>
    <sheet name="그믐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11" l="1"/>
  <c r="Y20" i="11"/>
  <c r="X20" i="11"/>
  <c r="AA20" i="11" s="1"/>
  <c r="W20" i="11"/>
  <c r="Z19" i="11"/>
  <c r="Y19" i="11"/>
  <c r="X19" i="11"/>
  <c r="AA19" i="11" s="1"/>
  <c r="W19" i="11"/>
  <c r="Z18" i="11"/>
  <c r="Y18" i="11"/>
  <c r="X18" i="11"/>
  <c r="W18" i="11"/>
  <c r="Z17" i="11"/>
  <c r="Y17" i="11"/>
  <c r="X17" i="11"/>
  <c r="AA17" i="11" s="1"/>
  <c r="W17" i="11"/>
  <c r="Z16" i="11"/>
  <c r="Y16" i="11"/>
  <c r="X16" i="11"/>
  <c r="W16" i="11"/>
  <c r="Z15" i="11"/>
  <c r="Y15" i="11"/>
  <c r="X15" i="11"/>
  <c r="W15" i="11"/>
  <c r="Z14" i="11"/>
  <c r="Y14" i="11"/>
  <c r="X14" i="11"/>
  <c r="W14" i="11"/>
  <c r="Z13" i="11"/>
  <c r="Y13" i="11"/>
  <c r="X13" i="11"/>
  <c r="W13" i="11"/>
  <c r="Z12" i="11"/>
  <c r="Y12" i="11"/>
  <c r="X12" i="11"/>
  <c r="W12" i="11"/>
  <c r="Y11" i="11"/>
  <c r="X11" i="11"/>
  <c r="Z11" i="11" s="1"/>
  <c r="W11" i="11"/>
  <c r="Y10" i="11"/>
  <c r="X10" i="11"/>
  <c r="AA10" i="11" s="1"/>
  <c r="W10" i="11"/>
  <c r="Y9" i="11"/>
  <c r="X9" i="11"/>
  <c r="Z9" i="11" s="1"/>
  <c r="W9" i="11"/>
  <c r="Y8" i="11"/>
  <c r="X8" i="11"/>
  <c r="AA8" i="11" s="1"/>
  <c r="W8" i="11"/>
  <c r="Y7" i="11"/>
  <c r="X7" i="11"/>
  <c r="W7" i="11"/>
  <c r="Y6" i="11"/>
  <c r="X6" i="11"/>
  <c r="W6" i="11"/>
  <c r="Y5" i="11"/>
  <c r="X5" i="11"/>
  <c r="W5" i="11"/>
  <c r="Y4" i="11"/>
  <c r="X4" i="11"/>
  <c r="AA4" i="11" s="1"/>
  <c r="W4" i="11"/>
  <c r="Y3" i="11"/>
  <c r="X3" i="11"/>
  <c r="AA3" i="11" s="1"/>
  <c r="W3" i="11"/>
  <c r="Z20" i="10"/>
  <c r="Y20" i="10"/>
  <c r="X20" i="10"/>
  <c r="AA20" i="10" s="1"/>
  <c r="W20" i="10"/>
  <c r="Z19" i="10"/>
  <c r="Y19" i="10"/>
  <c r="X19" i="10"/>
  <c r="W19" i="10"/>
  <c r="Z18" i="10"/>
  <c r="Y18" i="10"/>
  <c r="X18" i="10"/>
  <c r="AA18" i="10" s="1"/>
  <c r="W18" i="10"/>
  <c r="Z17" i="10"/>
  <c r="Y17" i="10"/>
  <c r="X17" i="10"/>
  <c r="AA17" i="10" s="1"/>
  <c r="W17" i="10"/>
  <c r="Z16" i="10"/>
  <c r="Y16" i="10"/>
  <c r="X16" i="10"/>
  <c r="AA16" i="10" s="1"/>
  <c r="W16" i="10"/>
  <c r="Z15" i="10"/>
  <c r="Y15" i="10"/>
  <c r="X15" i="10"/>
  <c r="W15" i="10"/>
  <c r="Z14" i="10"/>
  <c r="Y14" i="10"/>
  <c r="X14" i="10"/>
  <c r="AA14" i="10" s="1"/>
  <c r="W14" i="10"/>
  <c r="Z13" i="10"/>
  <c r="Y13" i="10"/>
  <c r="X13" i="10"/>
  <c r="AA13" i="10" s="1"/>
  <c r="W13" i="10"/>
  <c r="Z12" i="10"/>
  <c r="Y12" i="10"/>
  <c r="X12" i="10"/>
  <c r="AA12" i="10" s="1"/>
  <c r="W12" i="10"/>
  <c r="Y11" i="10"/>
  <c r="X11" i="10"/>
  <c r="AA11" i="10" s="1"/>
  <c r="W11" i="10"/>
  <c r="Y10" i="10"/>
  <c r="X10" i="10"/>
  <c r="AA10" i="10" s="1"/>
  <c r="W10" i="10"/>
  <c r="Y9" i="10"/>
  <c r="AA9" i="10" s="1"/>
  <c r="X9" i="10"/>
  <c r="W9" i="10"/>
  <c r="Y8" i="10"/>
  <c r="X8" i="10"/>
  <c r="AA8" i="10" s="1"/>
  <c r="W8" i="10"/>
  <c r="AA7" i="10"/>
  <c r="Y7" i="10"/>
  <c r="Z7" i="10" s="1"/>
  <c r="X7" i="10"/>
  <c r="W7" i="10"/>
  <c r="Y6" i="10"/>
  <c r="X6" i="10"/>
  <c r="AA6" i="10" s="1"/>
  <c r="W6" i="10"/>
  <c r="Y5" i="10"/>
  <c r="X5" i="10"/>
  <c r="AA5" i="10" s="1"/>
  <c r="W5" i="10"/>
  <c r="Y4" i="10"/>
  <c r="X4" i="10"/>
  <c r="AA4" i="10" s="1"/>
  <c r="W4" i="10"/>
  <c r="Y3" i="10"/>
  <c r="X3" i="10"/>
  <c r="AA3" i="10" s="1"/>
  <c r="W3" i="10"/>
  <c r="Z20" i="9"/>
  <c r="Y20" i="9"/>
  <c r="X20" i="9"/>
  <c r="AA20" i="9" s="1"/>
  <c r="W20" i="9"/>
  <c r="Z19" i="9"/>
  <c r="Y19" i="9"/>
  <c r="X19" i="9"/>
  <c r="AA19" i="9" s="1"/>
  <c r="W19" i="9"/>
  <c r="Z18" i="9"/>
  <c r="Y18" i="9"/>
  <c r="X18" i="9"/>
  <c r="AA18" i="9" s="1"/>
  <c r="W18" i="9"/>
  <c r="AA17" i="9"/>
  <c r="Z17" i="9"/>
  <c r="Y17" i="9"/>
  <c r="X17" i="9"/>
  <c r="W17" i="9"/>
  <c r="Z16" i="9"/>
  <c r="Y16" i="9"/>
  <c r="X16" i="9"/>
  <c r="AA16" i="9" s="1"/>
  <c r="W16" i="9"/>
  <c r="Z15" i="9"/>
  <c r="Y15" i="9"/>
  <c r="X15" i="9"/>
  <c r="AA15" i="9" s="1"/>
  <c r="W15" i="9"/>
  <c r="Z14" i="9"/>
  <c r="Y14" i="9"/>
  <c r="X14" i="9"/>
  <c r="AA14" i="9" s="1"/>
  <c r="W14" i="9"/>
  <c r="Z13" i="9"/>
  <c r="Y13" i="9"/>
  <c r="X13" i="9"/>
  <c r="AA13" i="9" s="1"/>
  <c r="W13" i="9"/>
  <c r="Z12" i="9"/>
  <c r="Y12" i="9"/>
  <c r="X12" i="9"/>
  <c r="AA12" i="9" s="1"/>
  <c r="W12" i="9"/>
  <c r="Y11" i="9"/>
  <c r="X11" i="9"/>
  <c r="Z11" i="9" s="1"/>
  <c r="W11" i="9"/>
  <c r="Y10" i="9"/>
  <c r="X10" i="9"/>
  <c r="AA10" i="9" s="1"/>
  <c r="W10" i="9"/>
  <c r="Y9" i="9"/>
  <c r="X9" i="9"/>
  <c r="AA9" i="9" s="1"/>
  <c r="W9" i="9"/>
  <c r="Y8" i="9"/>
  <c r="X8" i="9"/>
  <c r="AA8" i="9" s="1"/>
  <c r="W8" i="9"/>
  <c r="Y7" i="9"/>
  <c r="AA7" i="9" s="1"/>
  <c r="X7" i="9"/>
  <c r="Z7" i="9" s="1"/>
  <c r="W7" i="9"/>
  <c r="Y6" i="9"/>
  <c r="X6" i="9"/>
  <c r="AA6" i="9" s="1"/>
  <c r="W6" i="9"/>
  <c r="Y5" i="9"/>
  <c r="X5" i="9"/>
  <c r="Z5" i="9" s="1"/>
  <c r="W5" i="9"/>
  <c r="Y4" i="9"/>
  <c r="X4" i="9"/>
  <c r="AA4" i="9" s="1"/>
  <c r="W4" i="9"/>
  <c r="Y3" i="9"/>
  <c r="X3" i="9"/>
  <c r="Z3" i="9" s="1"/>
  <c r="W3" i="9"/>
  <c r="Z20" i="8"/>
  <c r="Y20" i="8"/>
  <c r="X20" i="8"/>
  <c r="AA20" i="8" s="1"/>
  <c r="W20" i="8"/>
  <c r="Z19" i="8"/>
  <c r="Y19" i="8"/>
  <c r="X19" i="8"/>
  <c r="AA19" i="8" s="1"/>
  <c r="W19" i="8"/>
  <c r="Z18" i="8"/>
  <c r="Y18" i="8"/>
  <c r="X18" i="8"/>
  <c r="AA18" i="8" s="1"/>
  <c r="W18" i="8"/>
  <c r="AA17" i="8"/>
  <c r="Z17" i="8"/>
  <c r="Y17" i="8"/>
  <c r="X17" i="8"/>
  <c r="W17" i="8"/>
  <c r="Z16" i="8"/>
  <c r="Y16" i="8"/>
  <c r="X16" i="8"/>
  <c r="AA16" i="8" s="1"/>
  <c r="W16" i="8"/>
  <c r="Z15" i="8"/>
  <c r="Y15" i="8"/>
  <c r="X15" i="8"/>
  <c r="AA15" i="8" s="1"/>
  <c r="W15" i="8"/>
  <c r="Z14" i="8"/>
  <c r="Y14" i="8"/>
  <c r="X14" i="8"/>
  <c r="AA14" i="8" s="1"/>
  <c r="W14" i="8"/>
  <c r="Z13" i="8"/>
  <c r="Y13" i="8"/>
  <c r="X13" i="8"/>
  <c r="AA13" i="8" s="1"/>
  <c r="W13" i="8"/>
  <c r="Z12" i="8"/>
  <c r="Y12" i="8"/>
  <c r="X12" i="8"/>
  <c r="AA12" i="8" s="1"/>
  <c r="W12" i="8"/>
  <c r="AA11" i="8"/>
  <c r="Y11" i="8"/>
  <c r="X11" i="8"/>
  <c r="Z11" i="8" s="1"/>
  <c r="W11" i="8"/>
  <c r="Y10" i="8"/>
  <c r="X10" i="8"/>
  <c r="AA10" i="8" s="1"/>
  <c r="W10" i="8"/>
  <c r="Y9" i="8"/>
  <c r="X9" i="8"/>
  <c r="AA9" i="8" s="1"/>
  <c r="W9" i="8"/>
  <c r="Y8" i="8"/>
  <c r="X8" i="8"/>
  <c r="AA8" i="8" s="1"/>
  <c r="W8" i="8"/>
  <c r="Y7" i="8"/>
  <c r="AA7" i="8" s="1"/>
  <c r="X7" i="8"/>
  <c r="Z7" i="8" s="1"/>
  <c r="W7" i="8"/>
  <c r="Y6" i="8"/>
  <c r="X6" i="8"/>
  <c r="AA6" i="8" s="1"/>
  <c r="W6" i="8"/>
  <c r="AA5" i="8"/>
  <c r="Y5" i="8"/>
  <c r="X5" i="8"/>
  <c r="Z5" i="8" s="1"/>
  <c r="W5" i="8"/>
  <c r="Y4" i="8"/>
  <c r="X4" i="8"/>
  <c r="AA4" i="8" s="1"/>
  <c r="W4" i="8"/>
  <c r="Y3" i="8"/>
  <c r="X3" i="8"/>
  <c r="Z3" i="8" s="1"/>
  <c r="W3" i="8"/>
  <c r="Z20" i="7"/>
  <c r="Y20" i="7"/>
  <c r="X20" i="7"/>
  <c r="AA20" i="7" s="1"/>
  <c r="W20" i="7"/>
  <c r="Z19" i="7"/>
  <c r="Y19" i="7"/>
  <c r="X19" i="7"/>
  <c r="AA19" i="7" s="1"/>
  <c r="W19" i="7"/>
  <c r="Z18" i="7"/>
  <c r="Y18" i="7"/>
  <c r="X18" i="7"/>
  <c r="AA18" i="7" s="1"/>
  <c r="W18" i="7"/>
  <c r="Z17" i="7"/>
  <c r="Y17" i="7"/>
  <c r="X17" i="7"/>
  <c r="AA17" i="7" s="1"/>
  <c r="W17" i="7"/>
  <c r="Z16" i="7"/>
  <c r="Y16" i="7"/>
  <c r="X16" i="7"/>
  <c r="W16" i="7"/>
  <c r="Z15" i="7"/>
  <c r="Y15" i="7"/>
  <c r="X15" i="7"/>
  <c r="W15" i="7"/>
  <c r="Z14" i="7"/>
  <c r="Y14" i="7"/>
  <c r="X14" i="7"/>
  <c r="AA14" i="7" s="1"/>
  <c r="W14" i="7"/>
  <c r="Z13" i="7"/>
  <c r="Y13" i="7"/>
  <c r="X13" i="7"/>
  <c r="W13" i="7"/>
  <c r="Z12" i="7"/>
  <c r="Y12" i="7"/>
  <c r="X12" i="7"/>
  <c r="W12" i="7"/>
  <c r="Y11" i="7"/>
  <c r="X11" i="7"/>
  <c r="AA11" i="7" s="1"/>
  <c r="W11" i="7"/>
  <c r="Y10" i="7"/>
  <c r="X10" i="7"/>
  <c r="W10" i="7"/>
  <c r="Y9" i="7"/>
  <c r="X9" i="7"/>
  <c r="AA9" i="7" s="1"/>
  <c r="W9" i="7"/>
  <c r="Y8" i="7"/>
  <c r="X8" i="7"/>
  <c r="AA8" i="7" s="1"/>
  <c r="W8" i="7"/>
  <c r="Y7" i="7"/>
  <c r="X7" i="7"/>
  <c r="W7" i="7"/>
  <c r="Y6" i="7"/>
  <c r="X6" i="7"/>
  <c r="W6" i="7"/>
  <c r="Y5" i="7"/>
  <c r="X5" i="7"/>
  <c r="AA5" i="7" s="1"/>
  <c r="W5" i="7"/>
  <c r="Y4" i="7"/>
  <c r="X4" i="7"/>
  <c r="AA4" i="7" s="1"/>
  <c r="W4" i="7"/>
  <c r="Y3" i="7"/>
  <c r="Z3" i="7" s="1"/>
  <c r="X3" i="7"/>
  <c r="W3" i="7"/>
  <c r="Y20" i="1"/>
  <c r="Y19" i="1"/>
  <c r="Y18" i="1"/>
  <c r="Y17" i="1"/>
  <c r="Y16" i="1"/>
  <c r="Y15" i="1"/>
  <c r="Y14" i="1"/>
  <c r="Y13" i="1"/>
  <c r="Y12" i="1"/>
  <c r="X20" i="1"/>
  <c r="X19" i="1"/>
  <c r="X18" i="1"/>
  <c r="X17" i="1"/>
  <c r="X16" i="1"/>
  <c r="X15" i="1"/>
  <c r="X14" i="1"/>
  <c r="X13" i="1"/>
  <c r="X12" i="1"/>
  <c r="Z20" i="1"/>
  <c r="Z19" i="1"/>
  <c r="Z18" i="1"/>
  <c r="Z17" i="1"/>
  <c r="Z16" i="1"/>
  <c r="Z15" i="1"/>
  <c r="Z14" i="1"/>
  <c r="Z13" i="1"/>
  <c r="Z12" i="1"/>
  <c r="Y11" i="1"/>
  <c r="Y10" i="1"/>
  <c r="Y9" i="1"/>
  <c r="Y8" i="1"/>
  <c r="Y7" i="1"/>
  <c r="Y6" i="1"/>
  <c r="Y5" i="1"/>
  <c r="Y4" i="1"/>
  <c r="Y3" i="1"/>
  <c r="X11" i="1"/>
  <c r="X9" i="1"/>
  <c r="X8" i="1"/>
  <c r="X7" i="1"/>
  <c r="X6" i="1"/>
  <c r="X5" i="1"/>
  <c r="X4" i="1"/>
  <c r="X3" i="1"/>
  <c r="AA3" i="1" s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X10" i="1"/>
  <c r="Z5" i="11" l="1"/>
  <c r="AA12" i="11"/>
  <c r="AA5" i="11"/>
  <c r="AA18" i="11"/>
  <c r="AC18" i="11" s="1"/>
  <c r="AA9" i="11"/>
  <c r="AC9" i="11" s="1"/>
  <c r="AA6" i="11"/>
  <c r="AA13" i="11"/>
  <c r="AC13" i="11" s="1"/>
  <c r="AA16" i="11"/>
  <c r="AC16" i="11" s="1"/>
  <c r="AA7" i="11"/>
  <c r="AA14" i="11"/>
  <c r="AC14" i="11" s="1"/>
  <c r="AA11" i="11"/>
  <c r="AC11" i="11" s="1"/>
  <c r="AC20" i="11"/>
  <c r="AC17" i="11"/>
  <c r="AC13" i="9"/>
  <c r="AC14" i="10"/>
  <c r="Z7" i="11"/>
  <c r="AC19" i="11"/>
  <c r="AA15" i="11"/>
  <c r="AC15" i="11" s="1"/>
  <c r="Z3" i="11"/>
  <c r="AC3" i="11" s="1"/>
  <c r="AC20" i="10"/>
  <c r="AA19" i="10"/>
  <c r="AC19" i="10" s="1"/>
  <c r="Z5" i="10"/>
  <c r="AC5" i="10" s="1"/>
  <c r="Z11" i="10"/>
  <c r="AC11" i="10" s="1"/>
  <c r="AC17" i="10"/>
  <c r="AA15" i="10"/>
  <c r="AC15" i="10" s="1"/>
  <c r="AC18" i="10"/>
  <c r="Z3" i="10"/>
  <c r="AC3" i="10" s="1"/>
  <c r="Z9" i="10"/>
  <c r="AC9" i="10" s="1"/>
  <c r="AC7" i="10"/>
  <c r="AC16" i="10"/>
  <c r="AC13" i="10"/>
  <c r="AC20" i="9"/>
  <c r="AA5" i="9"/>
  <c r="AC5" i="9" s="1"/>
  <c r="AA11" i="9"/>
  <c r="AC11" i="9" s="1"/>
  <c r="AC15" i="9"/>
  <c r="Z9" i="9"/>
  <c r="AC9" i="9" s="1"/>
  <c r="AC16" i="9"/>
  <c r="AC18" i="9"/>
  <c r="AC7" i="9"/>
  <c r="AC17" i="9"/>
  <c r="AA3" i="9"/>
  <c r="AC3" i="9" s="1"/>
  <c r="Z9" i="8"/>
  <c r="AC9" i="8" s="1"/>
  <c r="AA3" i="8"/>
  <c r="AC7" i="8"/>
  <c r="AC15" i="8"/>
  <c r="AC18" i="8"/>
  <c r="AC5" i="8"/>
  <c r="AC11" i="8"/>
  <c r="AC3" i="8"/>
  <c r="AC14" i="8"/>
  <c r="AC20" i="8"/>
  <c r="AC17" i="8"/>
  <c r="AC20" i="7"/>
  <c r="Z5" i="7"/>
  <c r="Z9" i="7"/>
  <c r="AC9" i="7" s="1"/>
  <c r="AC18" i="7"/>
  <c r="AA6" i="7"/>
  <c r="AA13" i="7"/>
  <c r="AC13" i="7" s="1"/>
  <c r="AA16" i="7"/>
  <c r="AC16" i="7" s="1"/>
  <c r="AA3" i="7"/>
  <c r="AC3" i="7" s="1"/>
  <c r="AA7" i="7"/>
  <c r="AC7" i="7" s="1"/>
  <c r="AC14" i="7"/>
  <c r="AA12" i="7"/>
  <c r="AC12" i="7" s="1"/>
  <c r="AA10" i="7"/>
  <c r="Z7" i="7"/>
  <c r="Z11" i="7"/>
  <c r="AC11" i="7" s="1"/>
  <c r="AC5" i="7"/>
  <c r="AC17" i="7"/>
  <c r="AA15" i="7"/>
  <c r="AC15" i="7" s="1"/>
  <c r="AC12" i="11"/>
  <c r="Z4" i="11"/>
  <c r="AC4" i="11" s="1"/>
  <c r="Z6" i="11"/>
  <c r="Z8" i="11"/>
  <c r="AC8" i="11" s="1"/>
  <c r="Z10" i="11"/>
  <c r="AC10" i="11" s="1"/>
  <c r="AC12" i="10"/>
  <c r="Z4" i="10"/>
  <c r="AC4" i="10" s="1"/>
  <c r="Z6" i="10"/>
  <c r="AC6" i="10" s="1"/>
  <c r="Z8" i="10"/>
  <c r="AC8" i="10" s="1"/>
  <c r="Z10" i="10"/>
  <c r="AC10" i="10" s="1"/>
  <c r="AC19" i="9"/>
  <c r="AC14" i="9"/>
  <c r="AC12" i="9"/>
  <c r="Z4" i="9"/>
  <c r="AC4" i="9" s="1"/>
  <c r="Z6" i="9"/>
  <c r="AC6" i="9" s="1"/>
  <c r="Z8" i="9"/>
  <c r="AC8" i="9" s="1"/>
  <c r="Z10" i="9"/>
  <c r="AC10" i="9" s="1"/>
  <c r="AC16" i="8"/>
  <c r="AC19" i="8"/>
  <c r="AC13" i="8"/>
  <c r="AC12" i="8"/>
  <c r="Z4" i="8"/>
  <c r="AC4" i="8" s="1"/>
  <c r="Z6" i="8"/>
  <c r="AC6" i="8" s="1"/>
  <c r="Z8" i="8"/>
  <c r="AC8" i="8" s="1"/>
  <c r="Z10" i="8"/>
  <c r="AC10" i="8" s="1"/>
  <c r="AC19" i="7"/>
  <c r="Z4" i="7"/>
  <c r="AC4" i="7" s="1"/>
  <c r="Z6" i="7"/>
  <c r="Z8" i="7"/>
  <c r="AC8" i="7" s="1"/>
  <c r="Z10" i="7"/>
  <c r="AA18" i="1"/>
  <c r="AC18" i="1" s="1"/>
  <c r="AA19" i="1"/>
  <c r="AC19" i="1" s="1"/>
  <c r="AA20" i="1"/>
  <c r="AC20" i="1" s="1"/>
  <c r="AA12" i="1"/>
  <c r="AC12" i="1" s="1"/>
  <c r="AA15" i="1"/>
  <c r="AC15" i="1" s="1"/>
  <c r="AA16" i="1"/>
  <c r="AC16" i="1" s="1"/>
  <c r="AA17" i="1"/>
  <c r="AC17" i="1" s="1"/>
  <c r="AA14" i="1"/>
  <c r="AC14" i="1" s="1"/>
  <c r="AA13" i="1"/>
  <c r="AC13" i="1" s="1"/>
  <c r="AA4" i="1"/>
  <c r="AA11" i="1"/>
  <c r="AA8" i="1"/>
  <c r="AA9" i="1"/>
  <c r="AA10" i="1"/>
  <c r="AA5" i="1"/>
  <c r="AA6" i="1"/>
  <c r="AA7" i="1"/>
  <c r="Z10" i="1"/>
  <c r="Z4" i="1"/>
  <c r="Z5" i="1"/>
  <c r="Z3" i="1"/>
  <c r="AC3" i="1" s="1"/>
  <c r="Z6" i="1"/>
  <c r="Z7" i="1"/>
  <c r="Z8" i="1"/>
  <c r="Z9" i="1"/>
  <c r="Z11" i="1"/>
  <c r="AC7" i="11" l="1"/>
  <c r="AC6" i="11"/>
  <c r="AC5" i="11"/>
  <c r="AC10" i="7"/>
  <c r="AC6" i="7"/>
  <c r="AD3" i="11"/>
  <c r="AD12" i="11"/>
  <c r="AD3" i="10"/>
  <c r="AD12" i="10"/>
  <c r="AD3" i="9"/>
  <c r="AD12" i="9"/>
  <c r="AD3" i="8"/>
  <c r="AD12" i="8"/>
  <c r="AD12" i="7"/>
  <c r="AD3" i="7"/>
  <c r="AC4" i="1"/>
  <c r="AC9" i="1"/>
  <c r="AC8" i="1"/>
  <c r="AC11" i="1"/>
  <c r="AC10" i="1"/>
  <c r="AC5" i="1"/>
  <c r="AC7" i="1"/>
  <c r="AC6" i="1"/>
  <c r="AD12" i="1"/>
  <c r="G32" i="11" l="1"/>
  <c r="D32" i="11"/>
  <c r="F31" i="11"/>
  <c r="E31" i="11"/>
  <c r="D31" i="11"/>
  <c r="G29" i="11"/>
  <c r="F29" i="11"/>
  <c r="F16" i="11"/>
  <c r="G16" i="11"/>
  <c r="G19" i="11"/>
  <c r="F18" i="11"/>
  <c r="D19" i="11"/>
  <c r="J25" i="11"/>
  <c r="E18" i="11"/>
  <c r="I25" i="11"/>
  <c r="D18" i="11"/>
  <c r="I24" i="11"/>
  <c r="G32" i="10"/>
  <c r="D32" i="10"/>
  <c r="F31" i="10"/>
  <c r="E31" i="10"/>
  <c r="D31" i="10"/>
  <c r="G29" i="10"/>
  <c r="F29" i="10"/>
  <c r="J25" i="10"/>
  <c r="F16" i="10"/>
  <c r="E18" i="10"/>
  <c r="F18" i="10"/>
  <c r="G19" i="10"/>
  <c r="I25" i="10"/>
  <c r="D18" i="10"/>
  <c r="I24" i="10"/>
  <c r="G16" i="10"/>
  <c r="D19" i="10"/>
  <c r="G32" i="9"/>
  <c r="D32" i="9"/>
  <c r="F31" i="9"/>
  <c r="E31" i="9"/>
  <c r="D31" i="9"/>
  <c r="G29" i="9"/>
  <c r="F29" i="9"/>
  <c r="F16" i="9"/>
  <c r="F18" i="9"/>
  <c r="J25" i="9"/>
  <c r="E18" i="9"/>
  <c r="I25" i="9"/>
  <c r="D18" i="9"/>
  <c r="G19" i="9"/>
  <c r="I24" i="9"/>
  <c r="G16" i="9"/>
  <c r="D19" i="9"/>
  <c r="G32" i="8"/>
  <c r="D32" i="8"/>
  <c r="F31" i="8"/>
  <c r="E31" i="8"/>
  <c r="D31" i="8"/>
  <c r="G29" i="8"/>
  <c r="F29" i="8"/>
  <c r="G19" i="8"/>
  <c r="F18" i="8"/>
  <c r="F16" i="8"/>
  <c r="J25" i="8"/>
  <c r="E18" i="8"/>
  <c r="I25" i="8"/>
  <c r="D18" i="8"/>
  <c r="I24" i="8"/>
  <c r="G16" i="8"/>
  <c r="D19" i="8"/>
  <c r="F16" i="7"/>
  <c r="G19" i="7"/>
  <c r="F18" i="7"/>
  <c r="G16" i="7"/>
  <c r="J25" i="7"/>
  <c r="E18" i="7"/>
  <c r="I24" i="7"/>
  <c r="I25" i="7"/>
  <c r="D18" i="7"/>
  <c r="D19" i="7"/>
  <c r="G32" i="7"/>
  <c r="D32" i="7"/>
  <c r="F31" i="7"/>
  <c r="E31" i="7"/>
  <c r="D31" i="7"/>
  <c r="G29" i="7"/>
  <c r="F29" i="7"/>
  <c r="AD3" i="1"/>
  <c r="I25" i="1" s="1"/>
  <c r="G32" i="1"/>
  <c r="F29" i="1"/>
  <c r="G29" i="1"/>
  <c r="D31" i="1"/>
  <c r="E31" i="1"/>
  <c r="F31" i="1"/>
  <c r="D32" i="1"/>
  <c r="G19" i="1" l="1"/>
  <c r="F18" i="1"/>
  <c r="D19" i="1"/>
  <c r="D18" i="1"/>
  <c r="F16" i="1"/>
  <c r="G16" i="1"/>
  <c r="I24" i="1"/>
  <c r="E18" i="1"/>
  <c r="J25" i="1"/>
</calcChain>
</file>

<file path=xl/sharedStrings.xml><?xml version="1.0" encoding="utf-8"?>
<sst xmlns="http://schemas.openxmlformats.org/spreadsheetml/2006/main" count="676" uniqueCount="64">
  <si>
    <t>백어택 적중률(%)</t>
    <phoneticPr fontId="2" type="noConversion"/>
  </si>
  <si>
    <t>치명타 적중률(%)</t>
    <phoneticPr fontId="2" type="noConversion"/>
  </si>
  <si>
    <t>치명타 피해(%)</t>
    <phoneticPr fontId="2" type="noConversion"/>
  </si>
  <si>
    <t>추가 피해(%)</t>
    <phoneticPr fontId="2" type="noConversion"/>
  </si>
  <si>
    <t>아드 치적(%)</t>
    <phoneticPr fontId="2" type="noConversion"/>
  </si>
  <si>
    <t>서폿 팔찌 치적(%)</t>
    <phoneticPr fontId="2" type="noConversion"/>
  </si>
  <si>
    <t>시너지 치적(%)</t>
    <phoneticPr fontId="2" type="noConversion"/>
  </si>
  <si>
    <t>서폿 팔찌 치피(%)</t>
    <phoneticPr fontId="2" type="noConversion"/>
  </si>
  <si>
    <t>시너지</t>
    <phoneticPr fontId="2" type="noConversion"/>
  </si>
  <si>
    <t>자치적</t>
    <phoneticPr fontId="2" type="noConversion"/>
  </si>
  <si>
    <t>스탯창</t>
    <phoneticPr fontId="2" type="noConversion"/>
  </si>
  <si>
    <t>아크패시브</t>
    <phoneticPr fontId="2" type="noConversion"/>
  </si>
  <si>
    <t>입타 가동률(%)</t>
    <phoneticPr fontId="2" type="noConversion"/>
  </si>
  <si>
    <t>4번 넘어지면 1% 하락</t>
    <phoneticPr fontId="2" type="noConversion"/>
  </si>
  <si>
    <t>레이드 10분 기준</t>
    <phoneticPr fontId="2" type="noConversion"/>
  </si>
  <si>
    <t>아크 패시브</t>
    <phoneticPr fontId="2" type="noConversion"/>
  </si>
  <si>
    <t>1노드</t>
    <phoneticPr fontId="2" type="noConversion"/>
  </si>
  <si>
    <t>2노드</t>
    <phoneticPr fontId="2" type="noConversion"/>
  </si>
  <si>
    <t>3노드</t>
    <phoneticPr fontId="2" type="noConversion"/>
  </si>
  <si>
    <t>4노드</t>
    <phoneticPr fontId="2" type="noConversion"/>
  </si>
  <si>
    <t>5노드</t>
    <phoneticPr fontId="2" type="noConversion"/>
  </si>
  <si>
    <t>예감2 한돌1</t>
  </si>
  <si>
    <t>예감1 한돌2</t>
  </si>
  <si>
    <t>예감0 한돌3</t>
  </si>
  <si>
    <t>뭉가</t>
  </si>
  <si>
    <t>입타</t>
  </si>
  <si>
    <t>회심 달인</t>
    <phoneticPr fontId="2" type="noConversion"/>
  </si>
  <si>
    <t>회심 분쇄</t>
  </si>
  <si>
    <t>달인 분쇄</t>
  </si>
  <si>
    <t>추피</t>
    <phoneticPr fontId="2" type="noConversion"/>
  </si>
  <si>
    <t>진피</t>
    <phoneticPr fontId="2" type="noConversion"/>
  </si>
  <si>
    <t>치적(백100)</t>
    <phoneticPr fontId="2" type="noConversion"/>
  </si>
  <si>
    <t>치적(백0)</t>
    <phoneticPr fontId="2" type="noConversion"/>
  </si>
  <si>
    <t>데미지배율</t>
    <phoneticPr fontId="2" type="noConversion"/>
  </si>
  <si>
    <t>젤쎈거</t>
    <phoneticPr fontId="2" type="noConversion"/>
  </si>
  <si>
    <t>치</t>
    <phoneticPr fontId="2" type="noConversion"/>
  </si>
  <si>
    <t>특</t>
    <phoneticPr fontId="2" type="noConversion"/>
  </si>
  <si>
    <t>신</t>
    <phoneticPr fontId="2" type="noConversion"/>
  </si>
  <si>
    <t>일격2</t>
    <phoneticPr fontId="2" type="noConversion"/>
  </si>
  <si>
    <t>입타중에젤쎈거</t>
    <phoneticPr fontId="2" type="noConversion"/>
  </si>
  <si>
    <t>진화 카르마 랭크</t>
    <phoneticPr fontId="2" type="noConversion"/>
  </si>
  <si>
    <t>뭉가 쓰기 싫을때</t>
    <phoneticPr fontId="2" type="noConversion"/>
  </si>
  <si>
    <t>사용 방법
1. 아크패시브 진화 탭 초기화
2. 첫번째 노드(특성)만 찍는다.
3. 빨주노파 네개의 칸을 채운다.
초기화 하기 귀찮으면 암산하셔도 됩니다.
근데 그랬다가 실수하면 저도 몰?루용</t>
    <phoneticPr fontId="2" type="noConversion"/>
  </si>
  <si>
    <t>계산 결과</t>
    <phoneticPr fontId="2" type="noConversion"/>
  </si>
  <si>
    <t>가장 기대 딜이 높은 세팅 (추천)</t>
    <phoneticPr fontId="2" type="noConversion"/>
  </si>
  <si>
    <t>시너지 회심(창,홀,발)</t>
    <phoneticPr fontId="2" type="noConversion"/>
  </si>
  <si>
    <t>치피추가값</t>
    <phoneticPr fontId="2" type="noConversion"/>
  </si>
  <si>
    <t>조절 필요</t>
    <phoneticPr fontId="2" type="noConversion"/>
  </si>
  <si>
    <t>치명적인 도약 사용시</t>
    <phoneticPr fontId="2" type="noConversion"/>
  </si>
  <si>
    <t>메인 스킬 백 적중률에</t>
    <phoneticPr fontId="2" type="noConversion"/>
  </si>
  <si>
    <t xml:space="preserve"> </t>
    <phoneticPr fontId="2" type="noConversion"/>
  </si>
  <si>
    <t>노일격 -32</t>
    <phoneticPr fontId="2" type="noConversion"/>
  </si>
  <si>
    <t>노일격 -20</t>
    <phoneticPr fontId="2" type="noConversion"/>
  </si>
  <si>
    <t>무마 +16</t>
    <phoneticPr fontId="2" type="noConversion"/>
  </si>
  <si>
    <t>자치적 +30</t>
    <phoneticPr fontId="2" type="noConversion"/>
  </si>
  <si>
    <t>깨달음 +6</t>
    <phoneticPr fontId="2" type="noConversion"/>
  </si>
  <si>
    <t>깨달음 +8</t>
    <phoneticPr fontId="2" type="noConversion"/>
  </si>
  <si>
    <t>자치적 +20</t>
    <phoneticPr fontId="2" type="noConversion"/>
  </si>
  <si>
    <t>따라 조절 가능</t>
    <phoneticPr fontId="2" type="noConversion"/>
  </si>
  <si>
    <t>리탈 엣지 시너스</t>
    <phoneticPr fontId="2" type="noConversion"/>
  </si>
  <si>
    <t>깨달음 빼고 확인</t>
    <phoneticPr fontId="2" type="noConversion"/>
  </si>
  <si>
    <t>날타x</t>
    <phoneticPr fontId="2" type="noConversion"/>
  </si>
  <si>
    <t>팔찌 이중옵 회심(%)</t>
    <phoneticPr fontId="2" type="noConversion"/>
  </si>
  <si>
    <t>다단히트시 감소 중복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</si>
</sst>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8" borderId="13" xfId="0" applyFill="1" applyBorder="1">
      <alignment vertical="center"/>
    </xf>
    <xf numFmtId="0" fontId="0" fillId="9" borderId="14" xfId="0" applyFill="1" applyBorder="1" applyAlignment="1">
      <alignment horizontal="center" vertical="center"/>
    </xf>
    <xf numFmtId="0" fontId="0" fillId="8" borderId="15" xfId="0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16" borderId="0" xfId="0" applyFill="1">
      <alignment vertical="center"/>
    </xf>
    <xf numFmtId="0" fontId="3" fillId="16" borderId="0" xfId="1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5" borderId="2" xfId="0" applyFill="1" applyBorder="1">
      <alignment vertical="center"/>
    </xf>
    <xf numFmtId="0" fontId="0" fillId="15" borderId="3" xfId="0" applyFill="1" applyBorder="1">
      <alignment vertical="center"/>
    </xf>
    <xf numFmtId="0" fontId="0" fillId="15" borderId="4" xfId="0" applyFill="1" applyBorder="1">
      <alignment vertical="center"/>
    </xf>
    <xf numFmtId="0" fontId="0" fillId="15" borderId="5" xfId="0" applyFill="1" applyBorder="1">
      <alignment vertical="center"/>
    </xf>
    <xf numFmtId="0" fontId="0" fillId="15" borderId="6" xfId="0" applyFill="1" applyBorder="1">
      <alignment vertical="center"/>
    </xf>
    <xf numFmtId="0" fontId="0" fillId="15" borderId="7" xfId="0" applyFill="1" applyBorder="1">
      <alignment vertical="center"/>
    </xf>
    <xf numFmtId="0" fontId="0" fillId="15" borderId="8" xfId="0" applyFill="1" applyBorder="1">
      <alignment vertical="center"/>
    </xf>
    <xf numFmtId="0" fontId="0" fillId="15" borderId="9" xfId="0" applyFill="1" applyBorder="1">
      <alignment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right" vertical="center"/>
    </xf>
    <xf numFmtId="0" fontId="0" fillId="15" borderId="0" xfId="0" applyFill="1">
      <alignment vertical="center"/>
    </xf>
    <xf numFmtId="0" fontId="4" fillId="15" borderId="0" xfId="0" applyFont="1" applyFill="1">
      <alignment vertical="center"/>
    </xf>
    <xf numFmtId="0" fontId="7" fillId="4" borderId="13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6" borderId="21" xfId="0" applyFill="1" applyBorder="1">
      <alignment vertical="center"/>
    </xf>
    <xf numFmtId="0" fontId="8" fillId="16" borderId="0" xfId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6" fillId="17" borderId="0" xfId="0" applyFont="1" applyFill="1" applyAlignment="1">
      <alignment horizontal="center" vertical="center"/>
    </xf>
    <xf numFmtId="0" fontId="0" fillId="17" borderId="5" xfId="0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colors>
    <mruColors>
      <color rgb="FFFF9999"/>
      <color rgb="FFFFCCCC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B982-99F2-4114-BC72-67A953AF7178}">
  <sheetPr codeName="Sheet1"/>
  <dimension ref="A1:AD36"/>
  <sheetViews>
    <sheetView tabSelected="1"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34"/>
      <c r="D1" s="54" t="s">
        <v>61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3" t="s">
        <v>10</v>
      </c>
      <c r="C2" s="64"/>
      <c r="D2" s="65"/>
      <c r="E2" s="34"/>
      <c r="F2" s="66" t="s">
        <v>9</v>
      </c>
      <c r="G2" s="67"/>
      <c r="H2" s="34"/>
      <c r="I2" s="68" t="s">
        <v>8</v>
      </c>
      <c r="J2" s="69"/>
      <c r="K2" s="70"/>
      <c r="L2" s="34"/>
      <c r="M2" s="58" t="s">
        <v>11</v>
      </c>
      <c r="N2" s="59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50.62</v>
      </c>
      <c r="X3">
        <f>MIN($C$4 + $G$4 + $I$4 + $J$4 + 20 + 8 + 7, 120)</f>
        <v>91.08</v>
      </c>
      <c r="Y3">
        <f>MIN($C$4 + $G$4 + $I$4 + $J$4 + 20 + 8 + 7 + 10, 120)</f>
        <v>101.08</v>
      </c>
      <c r="Z3">
        <f>IF(X3&gt;80, (X3-80)*1.5*(100-$F$4)/100, 0) + IF(Y3&gt;80, (Y3-80)*1.5*$F$4/100, 0) + $N$4 + 14 + 10 + 10 + 15</f>
        <v>85.87</v>
      </c>
      <c r="AA3">
        <f>(IF(X3&gt;80, 80*(100-$F$4)/100, X3*(100-$F$4)/100) + IF(Y3&gt;80, 80*$F$4/100, Y3*$F$4/100))/100*((1+$I$6/100)*(1+$J$6/100)*1.12*($D$4+$K$4+32)-100)</f>
        <v>145.90489600000001</v>
      </c>
      <c r="AC3">
        <f t="shared" ref="AC3:AC20" si="0">(100+W3)/100*(100+Z3)/100*(100+AA3)</f>
        <v>688.42893856001035</v>
      </c>
      <c r="AD3">
        <f>MATCH(MAX(AC3:AC20), AC3:AC20, 0)</f>
        <v>11</v>
      </c>
    </row>
    <row r="4" spans="1:30" ht="17.25" thickBot="1" x14ac:dyDescent="0.35">
      <c r="A4" s="34"/>
      <c r="B4" s="28">
        <v>42.12</v>
      </c>
      <c r="C4" s="29">
        <v>35.08</v>
      </c>
      <c r="D4" s="30">
        <v>216.4</v>
      </c>
      <c r="E4" s="36"/>
      <c r="F4" s="14">
        <v>95</v>
      </c>
      <c r="G4" s="15">
        <v>18.5</v>
      </c>
      <c r="H4" s="36"/>
      <c r="I4" s="18">
        <v>0</v>
      </c>
      <c r="J4" s="24">
        <v>2.5</v>
      </c>
      <c r="K4" s="19">
        <v>0</v>
      </c>
      <c r="L4" s="34"/>
      <c r="M4" s="22">
        <v>99</v>
      </c>
      <c r="N4" s="23">
        <v>6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42.12</v>
      </c>
      <c r="X4">
        <f>MIN($C$4 + $G$4 + $I$4 + $J$4 + 20 + 8, 120)</f>
        <v>84.08</v>
      </c>
      <c r="Y4">
        <f>MIN($C$4 + $G$4 + $I$4 + $J$4 + 20 + 8 + 10, 120)</f>
        <v>94.08</v>
      </c>
      <c r="Z4">
        <f>IF(X4&gt;80, (X4-80)*1.5*(100-$F$4)/100, 0) + IF(Y4&gt;80, (Y4-80)*1.5*$F$4/100, 0) + $N$4 + 14 + 10 + 10 + 15 + 20</f>
        <v>95.37</v>
      </c>
      <c r="AA4">
        <f>(IF(X4&gt;80, 80*(100-$F$4)/100, X4*(100-$F$4)/100) + IF(Y4&gt;80, 80*$F$4/100, Y4*$F$4/100))/100*((1+$I$6/100)*(1+$J$6/100)*1.12*($D$4+$K$4+32)-100)</f>
        <v>145.90489600000001</v>
      </c>
      <c r="AC4">
        <f t="shared" si="0"/>
        <v>682.77915062196234</v>
      </c>
    </row>
    <row r="5" spans="1:30" x14ac:dyDescent="0.3">
      <c r="A5" s="34"/>
      <c r="B5" s="34"/>
      <c r="C5" s="34"/>
      <c r="D5" s="54" t="s">
        <v>48</v>
      </c>
      <c r="E5" s="34"/>
      <c r="F5" s="54" t="s">
        <v>49</v>
      </c>
      <c r="G5" s="34"/>
      <c r="H5" s="34"/>
      <c r="I5" s="49" t="s">
        <v>45</v>
      </c>
      <c r="J5" s="55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50.62</v>
      </c>
      <c r="X5">
        <f>MIN($C$4 + $G$4 + $I$4 + $J$4 + 20 + 8 + 7, 120)</f>
        <v>91.08</v>
      </c>
      <c r="Y5">
        <f>MIN($C$4 + $G$4 + $I$4 + $J$4 + 20 + 8 + 7 + 10, 120)</f>
        <v>101.08</v>
      </c>
      <c r="Z5">
        <f>IF(X5&gt;80, (X5-80)*1.5*(100-$F$4)/100, 0) + IF(Y5&gt;80, (Y5-80)*1.5*$F$4/100, 0) + $N$4 + 14 + 10 + 10 + 15 + 20</f>
        <v>105.87</v>
      </c>
      <c r="AA5">
        <f>(IF(X5&gt;80, 80*(100-$F$4)/100, X5*(100-$F$4)/100) + IF(Y5&gt;80, 80*$F$4/100, Y5*$F$4/100))/100*((1+$I$6/100)*(1+$J$6/100)*($D$4+$K$4+32)-100)</f>
        <v>121.70079999999999</v>
      </c>
      <c r="AC5">
        <f t="shared" si="0"/>
        <v>687.45293114915194</v>
      </c>
    </row>
    <row r="6" spans="1:30" ht="17.25" thickBot="1" x14ac:dyDescent="0.35">
      <c r="A6" s="34"/>
      <c r="B6" s="34"/>
      <c r="C6" s="34"/>
      <c r="D6" s="35" t="s">
        <v>47</v>
      </c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50.62</v>
      </c>
      <c r="X6">
        <f>MIN($C$4 + $G$4 + $I$4 + $J$4 + 20 + 4 + 7, 120)</f>
        <v>87.08</v>
      </c>
      <c r="Y6">
        <f>MIN($C$4 + $G$4 + $I$4 + $J$4 + 20 + 4 + 7 + 10, 120)</f>
        <v>97.08</v>
      </c>
      <c r="Z6">
        <f>IF(X6&gt;80, (X6-80)*1.5*(100-$F$4)/100, 0) + IF(Y6&gt;80, (Y6-80)*1.5*$F$4/100, 0) + $N$4 + 14 + 5 + 20 + 15</f>
        <v>84.86999999999999</v>
      </c>
      <c r="AA6">
        <f>(IF(X6&gt;80, 80*(100-$F$4)/100, X6*(100-$F$4)/100) + IF(Y6&gt;80, 80*$F$4/100, Y6*$F$4/100))/100*((1+$I$6/100)*(1+$J$6/100)*1.12*($D$4+$K$4+32)-100)</f>
        <v>145.90489600000001</v>
      </c>
      <c r="AC6">
        <f t="shared" si="0"/>
        <v>684.72511901645817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5" t="s">
        <v>63</v>
      </c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42.12</v>
      </c>
      <c r="X7">
        <f>MIN($C$4 + $G$4 + $I$4 + $J$4 + 20 + 4, 120)</f>
        <v>80.08</v>
      </c>
      <c r="Y7">
        <f>MIN($C$4 + $G$4 + $I$4 + $J$4 + 20 + 4 + 10, 120)</f>
        <v>90.08</v>
      </c>
      <c r="Z7">
        <f>IF(X7&gt;80, (X7-80)*1.5*(100-$F$4)/100, 0) + IF(Y7&gt;80, (Y7-80)*1.5*$F$4/100, 0) + $N$4 + 14 + 5 + 20 + 15 + 20</f>
        <v>94.37</v>
      </c>
      <c r="AA7">
        <f>(IF(X7&gt;80, 80*(100-$F$4)/100, X7*(100-$F$4)/100) + IF(Y7&gt;80, 80*$F$4/100, Y7*$F$4/100))/100*((1+$I$6/100)*(1+$J$6/100)*1.12*($D$4+$K$4+32)-100)</f>
        <v>145.90489600000001</v>
      </c>
      <c r="AC7">
        <f t="shared" si="0"/>
        <v>679.28435024001033</v>
      </c>
    </row>
    <row r="8" spans="1:30" ht="17.25" customHeight="1" thickTop="1" x14ac:dyDescent="0.3">
      <c r="A8" s="40"/>
      <c r="B8" s="47"/>
      <c r="C8" s="47"/>
      <c r="D8" s="38"/>
      <c r="E8" s="61" t="s">
        <v>43</v>
      </c>
      <c r="F8" s="61"/>
      <c r="G8" s="61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50.62</v>
      </c>
      <c r="X8">
        <f>MIN($C$4 + $G$4 + $I$4 + $J$4 + 20 + 4 + 7, 120)</f>
        <v>87.08</v>
      </c>
      <c r="Y8">
        <f>MIN($C$4 + $G$4 + $I$4 + $J$4 + 20 + 4 + 7 + 10, 120)</f>
        <v>97.08</v>
      </c>
      <c r="Z8">
        <f>IF(X8&gt;80, (X8-80)*1.5*(100-$F$4)/100, 0) + IF(Y8&gt;80, (Y8-80)*1.5*$F$4/100, 0) + $N$4 + 14 + 5 + 20 + 15 + 20</f>
        <v>104.86999999999999</v>
      </c>
      <c r="AA8">
        <f>(IF(X8&gt;80, 80*(100-$F$4)/100, X8*(100-$F$4)/100) + IF(Y8&gt;80, 80*$F$4/100, Y8*$F$4/100))/100*((1+$I$6/100)*(1+$J$6/100)*($D$4+$K$4+32)-100)</f>
        <v>121.70079999999999</v>
      </c>
      <c r="AC8">
        <f t="shared" si="0"/>
        <v>684.11367369955201</v>
      </c>
    </row>
    <row r="9" spans="1:30" x14ac:dyDescent="0.3">
      <c r="A9" s="40"/>
      <c r="B9" s="47"/>
      <c r="C9" s="47"/>
      <c r="D9" s="47"/>
      <c r="E9" s="62"/>
      <c r="F9" s="62"/>
      <c r="G9" s="62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50.62</v>
      </c>
      <c r="X9">
        <f>MIN($C$4 + $G$4 + $I$4 + $J$4 + 20 + 7, 120)</f>
        <v>83.08</v>
      </c>
      <c r="Y9">
        <f>MIN($C$4 + $G$4 + $I$4 + $J$4 + 20 + 7 + 10, 120)</f>
        <v>93.08</v>
      </c>
      <c r="Z9">
        <f>IF(X9&gt;80, (X9-80)*1.5*(100-$F$4)/100, 0) + IF(Y9&gt;80, (Y9-80)*1.5*$F$4/100, 0) + $N$4 + 14 + 30 + 15</f>
        <v>83.87</v>
      </c>
      <c r="AA9">
        <f>(IF(X9&gt;80, 80*(100-$F$4)/100, X9*(100-$F$4)/100) + IF(Y9&gt;80, 80*$F$4/100, Y9*$F$4/100))/100*((1+$I$6/100)*(1+$J$6/100)*1.12*($D$4+$K$4+32)-100)</f>
        <v>145.90489600000001</v>
      </c>
      <c r="AC9">
        <f t="shared" si="0"/>
        <v>681.02129947290621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42.12</v>
      </c>
      <c r="X10">
        <f>MIN($C$4 + $G$4 + $I$4 + $J$4 + 20, 120)</f>
        <v>76.08</v>
      </c>
      <c r="Y10">
        <f>MIN($C$4 + $G$4 + $I$4 + $J$4 + 20 + 10, 120)</f>
        <v>86.08</v>
      </c>
      <c r="Z10">
        <f>IF(X10&gt;80, (X10-80)*1.5*(100-$F$4)/100, 0) + IF(Y10&gt;80, (Y10-80)*1.5*$F$4/100, 0) + $N$4 + 14 + 30 + 15 + 20</f>
        <v>93.664000000000001</v>
      </c>
      <c r="AA10">
        <f>(IF(X10&gt;80, 80*(100-$F$4)/100, X10*(100-$F$4)/100) + IF(Y10&gt;80, 80*$F$4/100, Y10*$F$4/100))/100*((1+$I$6/100)*(1+$J$6/100)*1.12*($D$4+$K$4+32)-100)</f>
        <v>145.54742900479999</v>
      </c>
      <c r="AC10">
        <f t="shared" si="0"/>
        <v>675.83314589664474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50.62</v>
      </c>
      <c r="X11">
        <f>MIN($C$4 + $G$4 + $I$4 + $J$4 + 20 + 7, 120)</f>
        <v>83.08</v>
      </c>
      <c r="Y11">
        <f>MIN($C$4 + $G$4 + $I$4 + $J$4 + 20 + 7 + 10, 120)</f>
        <v>93.08</v>
      </c>
      <c r="Z11">
        <f>IF(X11&gt;80, (X11-80)*1.5*(100-$F$4)/100, 0) + IF(Y11&gt;80, (Y11-80)*1.5*$F$4/100, 0) + $N$4 + 14 + 30 + 15 + 20</f>
        <v>103.87</v>
      </c>
      <c r="AA11">
        <f>(IF(X11&gt;80, 80*(100-$F$4)/100, X11*(100-$F$4)/100) + IF(Y11&gt;80, 80*$F$4/100, Y11*$F$4/100))/100*((1+$I$6/100)*(1+$J$6/100)*($D$4+$K$4+32)-100)</f>
        <v>121.70079999999999</v>
      </c>
      <c r="AC11">
        <f t="shared" si="0"/>
        <v>680.77441624995197</v>
      </c>
      <c r="AD11" t="s">
        <v>39</v>
      </c>
    </row>
    <row r="12" spans="1:30" x14ac:dyDescent="0.3">
      <c r="A12" s="40"/>
      <c r="B12" s="47"/>
      <c r="C12" s="47"/>
      <c r="D12" s="48"/>
      <c r="E12" s="85" t="s">
        <v>44</v>
      </c>
      <c r="F12" s="85"/>
      <c r="G12" s="85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50.62</v>
      </c>
      <c r="X12">
        <f>MIN($C$4 + $G$4 + $I$4 + $J$4 + 20 + 8 + 7, 100)</f>
        <v>91.08</v>
      </c>
      <c r="Y12">
        <f>MIN($C$4 + $G$4 + $I$4 + $J$4 + 20 + 8 + 7 + 10, 100)</f>
        <v>100</v>
      </c>
      <c r="Z12">
        <f>$N$4 + 14 + 10 + 10 + 12 + $M$4*9/100</f>
        <v>60.91</v>
      </c>
      <c r="AA12">
        <f>(X12*(100-$F$4)/100 + Y12*$F$4/100)/100*((1+$I$6/100)*(1+$J$6/100)*1.12*($D$4+$K$4+32)-100)</f>
        <v>181.56770020480002</v>
      </c>
      <c r="AC12">
        <f t="shared" si="0"/>
        <v>682.41491723499269</v>
      </c>
      <c r="AD12">
        <f>MATCH(MAX(AC12:AC20), AC3:AC20, 0)</f>
        <v>11</v>
      </c>
    </row>
    <row r="13" spans="1:30" ht="17.25" thickBot="1" x14ac:dyDescent="0.35">
      <c r="A13" s="40"/>
      <c r="B13" s="57"/>
      <c r="C13" s="57"/>
      <c r="D13" s="57"/>
      <c r="E13" s="57"/>
      <c r="F13" s="57"/>
      <c r="G13" s="57"/>
      <c r="H13" s="57"/>
      <c r="I13" s="57"/>
      <c r="J13" s="57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42.12</v>
      </c>
      <c r="X13">
        <f>MIN($C$4 + $G$4 + $I$4 + $J$4 + 20 + 8, 100)</f>
        <v>84.08</v>
      </c>
      <c r="Y13">
        <f>MIN($C$4 + $G$4 + $I$4 + $J$4 + 20 + 8 + 10, 100)</f>
        <v>94.08</v>
      </c>
      <c r="Z13">
        <f>$N$4 + 14 + 10 + 10 + 12 + 20 + $M$4*9/100</f>
        <v>80.91</v>
      </c>
      <c r="AA13">
        <f>(X13*(100-$F$4)/100 + Y13*$F$4/100)/100*((1+$I$6/100)*(1+$J$6/100)*1.12*($D$4+$K$4+32)-100)</f>
        <v>170.67225209599999</v>
      </c>
      <c r="AC13">
        <f t="shared" si="0"/>
        <v>695.92351100448059</v>
      </c>
    </row>
    <row r="14" spans="1:30" x14ac:dyDescent="0.3">
      <c r="A14" s="40"/>
      <c r="B14" s="56"/>
      <c r="C14" s="71" t="s">
        <v>15</v>
      </c>
      <c r="D14" s="72"/>
      <c r="E14" s="72"/>
      <c r="F14" s="72"/>
      <c r="G14" s="72"/>
      <c r="H14" s="72"/>
      <c r="I14" s="73"/>
      <c r="J14" s="86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50.62</v>
      </c>
      <c r="X14">
        <f>MIN($C$4 + $G$4 + $I$4 + $J$4 + 20 + 8 + 7, 100)</f>
        <v>91.08</v>
      </c>
      <c r="Y14">
        <f>MIN($C$4 + $G$4 + $I$4 + $J$4 + 20 + 8 + 7 + 10, 100)</f>
        <v>100</v>
      </c>
      <c r="Z14">
        <f>$N$4 + 14 + 10 + 10 + 12 + 20 + $M$4*9/100</f>
        <v>80.91</v>
      </c>
      <c r="AA14">
        <f>(X14*(100-$F$4)/100 + Y14*$F$4/100)/100*((1+$I$6/100)*(1+$J$6/100)*($D$4+$K$4+32)-100)</f>
        <v>151.44751803999998</v>
      </c>
      <c r="AC14">
        <f t="shared" si="0"/>
        <v>685.16089829954024</v>
      </c>
    </row>
    <row r="15" spans="1:30" x14ac:dyDescent="0.3">
      <c r="A15" s="40"/>
      <c r="B15" s="56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6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50.62</v>
      </c>
      <c r="X15">
        <f>MIN($C$4 + $G$4 + $I$4 + $J$4 + 20 + 4 + 7, 100)</f>
        <v>87.08</v>
      </c>
      <c r="Y15">
        <f>MIN($C$4 + $G$4 + $I$4 + $J$4 + 20 + 4 + 7 + 10, 100)</f>
        <v>97.08</v>
      </c>
      <c r="Z15">
        <f>$N$4 + 14 + 5 + 20 + 12 + $M$4*9/100</f>
        <v>65.91</v>
      </c>
      <c r="AA15">
        <f>(X15*(100-$F$4)/100 + Y15*$F$4/100)/100*((1+$I$6/100)*(1+$J$6/100)*1.12*($D$4+$K$4+32)-100)</f>
        <v>176.14368569600001</v>
      </c>
      <c r="AC15">
        <f t="shared" si="0"/>
        <v>690.06551333876757</v>
      </c>
    </row>
    <row r="16" spans="1:30" ht="16.5" customHeight="1" thickBot="1" x14ac:dyDescent="0.35">
      <c r="A16" s="40"/>
      <c r="B16" s="56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6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42.12</v>
      </c>
      <c r="X16">
        <f>MIN($C$4 + $G$4 + $I$4 + $J$4 + 20 + 4, 100)</f>
        <v>80.08</v>
      </c>
      <c r="Y16">
        <f>MIN($C$4 + $G$4 + $I$4 + $J$4 + 20 + 4 + 10, 100)</f>
        <v>90.08</v>
      </c>
      <c r="Z16">
        <f>$N$4 + 14 + 5 + 20 + 12 + 20 + $M$4*9/100</f>
        <v>85.91</v>
      </c>
      <c r="AA16">
        <f>(X16*(100-$F$4)/100 + Y16*$F$4/100)/100*((1+$I$6/100)*(1+$J$6/100)*1.12*($D$4+$K$4+32)-100)</f>
        <v>163.37700729600004</v>
      </c>
      <c r="AC16">
        <f t="shared" si="0"/>
        <v>695.88232888798768</v>
      </c>
    </row>
    <row r="17" spans="1:29" x14ac:dyDescent="0.3">
      <c r="A17" s="40"/>
      <c r="B17" s="56"/>
      <c r="C17" s="6" t="s">
        <v>18</v>
      </c>
      <c r="D17" s="4"/>
      <c r="E17" s="4"/>
      <c r="F17" s="5" t="s">
        <v>38</v>
      </c>
      <c r="G17" s="4"/>
      <c r="H17" s="4"/>
      <c r="I17" s="7"/>
      <c r="J17" s="86"/>
      <c r="K17" s="47"/>
      <c r="L17" s="76" t="s">
        <v>42</v>
      </c>
      <c r="M17" s="77"/>
      <c r="N17" s="77"/>
      <c r="O17" s="78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50.62</v>
      </c>
      <c r="X17">
        <f>MIN($C$4 + $G$4 + $I$4 + $J$4 + 20 + 4 + 7, 100)</f>
        <v>87.08</v>
      </c>
      <c r="Y17">
        <f>MIN($C$4 + $G$4 + $I$4 + $J$4 + 20 + 4 + 7 + 10, 100)</f>
        <v>97.08</v>
      </c>
      <c r="Z17">
        <f>$N$4 + 14 + 5 + 20 + 12 + 20 + $M$4*9/100</f>
        <v>85.91</v>
      </c>
      <c r="AA17">
        <f>(X17*(100-$F$4)/100 + Y17*$F$4/100)/100*((1+$I$6/100)*(1+$J$6/100)*($D$4+$K$4+32)-100)</f>
        <v>146.92329079999999</v>
      </c>
      <c r="AC17">
        <f t="shared" si="0"/>
        <v>691.42877644696284</v>
      </c>
    </row>
    <row r="18" spans="1:29" x14ac:dyDescent="0.3">
      <c r="A18" s="40"/>
      <c r="B18" s="56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X</v>
      </c>
      <c r="F18" s="3" t="str">
        <f>IF(OR(AD3=2, AD3=3, AD3=5, AD3=6, AD3=8, AD3=9, AD3=11, AD3=12, AD3=14, AD3=15, AD3=17, AD3=18), "분쇄", "X")</f>
        <v>분쇄</v>
      </c>
      <c r="G18" s="4"/>
      <c r="H18" s="4"/>
      <c r="I18" s="7"/>
      <c r="J18" s="86"/>
      <c r="K18" s="47"/>
      <c r="L18" s="79"/>
      <c r="M18" s="80"/>
      <c r="N18" s="80"/>
      <c r="O18" s="81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50.62</v>
      </c>
      <c r="X18">
        <f>MIN($C$4 + $G$4 + $I$4 + $J$4 + 20 + 7, 100)</f>
        <v>83.08</v>
      </c>
      <c r="Y18">
        <f>MIN($C$4 + $G$4 + $I$4 + $J$4 + 20 + 7 + 10, 100)</f>
        <v>93.08</v>
      </c>
      <c r="Z18">
        <f>$N$4 + 14 + 30 + 12 + $M$4*9/100</f>
        <v>70.91</v>
      </c>
      <c r="AA18">
        <f>(X18*(100-$F$4)/100 + Y18*$F$4/100)/100*((1+$I$6/100)*(1+$J$6/100)*1.12*($D$4+$K$4+32)-100)</f>
        <v>168.848440896</v>
      </c>
      <c r="AC18">
        <f t="shared" si="0"/>
        <v>692.08213649910965</v>
      </c>
    </row>
    <row r="19" spans="1:29" ht="17.25" thickBot="1" x14ac:dyDescent="0.35">
      <c r="A19" s="40"/>
      <c r="B19" s="56"/>
      <c r="C19" s="8" t="s">
        <v>20</v>
      </c>
      <c r="D19" s="9" t="str">
        <f>IF(AD3&lt;10, "뭉가2", "X")</f>
        <v>X</v>
      </c>
      <c r="E19" s="10"/>
      <c r="F19" s="10"/>
      <c r="G19" s="9" t="str">
        <f>IF(AD3&lt;10, "X", "입타2")</f>
        <v>입타2</v>
      </c>
      <c r="H19" s="10"/>
      <c r="I19" s="11"/>
      <c r="J19" s="86"/>
      <c r="K19" s="47"/>
      <c r="L19" s="79"/>
      <c r="M19" s="80"/>
      <c r="N19" s="80"/>
      <c r="O19" s="81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42.12</v>
      </c>
      <c r="X19">
        <f>MIN($C$4 + $G$4 + $I$4 + $J$4 + 20, 100)</f>
        <v>76.08</v>
      </c>
      <c r="Y19">
        <f>MIN($C$4 + $G$4 + $I$4 + $J$4 + 20 + 10, 100)</f>
        <v>86.08</v>
      </c>
      <c r="Z19">
        <f>$N$4 + 14 + 30 + 12 + 20 + $M$4*9/100</f>
        <v>90.91</v>
      </c>
      <c r="AA19">
        <f>(X19*(100-$F$4)/100 + Y19*$F$4/100)/100*((1+$I$6/100)*(1+$J$6/100)*1.12*($D$4+$K$4+32)-100)</f>
        <v>156.08176249600001</v>
      </c>
      <c r="AC19">
        <f t="shared" si="0"/>
        <v>694.80434658051865</v>
      </c>
    </row>
    <row r="20" spans="1:29" x14ac:dyDescent="0.3">
      <c r="A20" s="40"/>
      <c r="B20" s="57"/>
      <c r="C20" s="57"/>
      <c r="D20" s="57"/>
      <c r="E20" s="57"/>
      <c r="F20" s="57"/>
      <c r="G20" s="57"/>
      <c r="H20" s="57"/>
      <c r="I20" s="57"/>
      <c r="J20" s="57"/>
      <c r="K20" s="47"/>
      <c r="L20" s="79"/>
      <c r="M20" s="80"/>
      <c r="N20" s="80"/>
      <c r="O20" s="81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50.62</v>
      </c>
      <c r="X20">
        <f>MIN($C$4 + $G$4 + $I$4 + $J$4 + 20 + 7, 100)</f>
        <v>83.08</v>
      </c>
      <c r="Y20">
        <f>MIN($C$4 + $G$4 + $I$4 + $J$4 + 20 + 7 + 10, 100)</f>
        <v>93.08</v>
      </c>
      <c r="Z20">
        <f>$N$4 + 14 + 30 + 12 + 20 + $M$4*9/100</f>
        <v>90.91</v>
      </c>
      <c r="AA20">
        <f>(X20*(100-$F$4)/100 + Y20*$F$4/100)/100*((1+$I$6/100)*(1+$J$6/100)*($D$4+$K$4+32)-100)</f>
        <v>140.83825079999997</v>
      </c>
      <c r="AC20">
        <f t="shared" si="0"/>
        <v>692.52711959195392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9"/>
      <c r="M21" s="80"/>
      <c r="N21" s="80"/>
      <c r="O21" s="81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9"/>
      <c r="M22" s="80"/>
      <c r="N22" s="80"/>
      <c r="O22" s="81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9"/>
      <c r="M23" s="80"/>
      <c r="N23" s="80"/>
      <c r="O23" s="81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60" t="str">
        <f>IF(AD3&lt;10, "그런데 뭉가 끼면", "원래 입타에요")</f>
        <v>원래 입타에요</v>
      </c>
      <c r="J24" s="60"/>
      <c r="K24" s="47"/>
      <c r="L24" s="79"/>
      <c r="M24" s="80"/>
      <c r="N24" s="80"/>
      <c r="O24" s="81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60" t="s">
        <v>41</v>
      </c>
      <c r="F25" s="60"/>
      <c r="G25" s="60"/>
      <c r="H25" s="47"/>
      <c r="I25" s="46" t="str">
        <f>IF(AD3&lt;10, (MAX(AC3:AC20)/MAX(AC12:AC20)-1)*100, "")</f>
        <v/>
      </c>
      <c r="J25" s="45" t="str">
        <f>IF(AD3&lt;10, "% 더세요", "")</f>
        <v/>
      </c>
      <c r="K25" s="47"/>
      <c r="L25" s="82"/>
      <c r="M25" s="83"/>
      <c r="N25" s="83"/>
      <c r="O25" s="84"/>
      <c r="P25" s="50"/>
      <c r="Q25" s="51"/>
      <c r="R25" s="52"/>
    </row>
    <row r="26" spans="1:29" ht="17.25" thickBot="1" x14ac:dyDescent="0.35">
      <c r="A26" s="40"/>
      <c r="B26" s="60"/>
      <c r="C26" s="60"/>
      <c r="D26" s="60"/>
      <c r="E26" s="60"/>
      <c r="F26" s="60"/>
      <c r="G26" s="60"/>
      <c r="H26" s="60"/>
      <c r="I26" s="60"/>
      <c r="J26" s="60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5"/>
      <c r="C27" s="31" t="s">
        <v>15</v>
      </c>
      <c r="D27" s="32"/>
      <c r="E27" s="32"/>
      <c r="F27" s="32"/>
      <c r="G27" s="32"/>
      <c r="H27" s="32"/>
      <c r="I27" s="33"/>
      <c r="J27" s="74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5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4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5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예감2</v>
      </c>
      <c r="G29" s="3" t="str">
        <f>IF(OR(AD12=1, AD12=2, AD12=3, AD12=10, AD12=11, AD12=12), "한돌1", IF(OR(AD12=4, AD12=5, AD12=6, AD12=13, AD12=14, AD12=15), "한돌2", "한돌3"))</f>
        <v>한돌1</v>
      </c>
      <c r="H29" s="4"/>
      <c r="I29" s="7"/>
      <c r="J29" s="74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5"/>
      <c r="C30" s="6" t="s">
        <v>18</v>
      </c>
      <c r="D30" s="4"/>
      <c r="E30" s="4"/>
      <c r="F30" s="5" t="s">
        <v>38</v>
      </c>
      <c r="G30" s="4"/>
      <c r="H30" s="4"/>
      <c r="I30" s="7"/>
      <c r="J30" s="74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5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4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5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4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60"/>
      <c r="C33" s="60"/>
      <c r="D33" s="60"/>
      <c r="E33" s="60"/>
      <c r="F33" s="60"/>
      <c r="G33" s="60"/>
      <c r="H33" s="60"/>
      <c r="I33" s="60"/>
      <c r="J33" s="60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E12:G12"/>
    <mergeCell ref="J14:J19"/>
    <mergeCell ref="B14:B19"/>
    <mergeCell ref="B13:J13"/>
    <mergeCell ref="M2:N2"/>
    <mergeCell ref="B33:J33"/>
    <mergeCell ref="E8:G9"/>
    <mergeCell ref="B2:D2"/>
    <mergeCell ref="F2:G2"/>
    <mergeCell ref="I2:K2"/>
    <mergeCell ref="C14:I14"/>
    <mergeCell ref="J27:J32"/>
    <mergeCell ref="B27:B32"/>
    <mergeCell ref="B26:J26"/>
    <mergeCell ref="B20:J20"/>
    <mergeCell ref="I24:J24"/>
    <mergeCell ref="E25:G25"/>
    <mergeCell ref="L17:O2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E103-8B77-446F-80EE-BE9B84903A7D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34"/>
      <c r="D1" s="54" t="s">
        <v>61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3" t="s">
        <v>10</v>
      </c>
      <c r="C2" s="64"/>
      <c r="D2" s="65"/>
      <c r="E2" s="34"/>
      <c r="F2" s="66" t="s">
        <v>9</v>
      </c>
      <c r="G2" s="67"/>
      <c r="H2" s="34"/>
      <c r="I2" s="68" t="s">
        <v>8</v>
      </c>
      <c r="J2" s="69"/>
      <c r="K2" s="70"/>
      <c r="L2" s="34"/>
      <c r="M2" s="58" t="s">
        <v>11</v>
      </c>
      <c r="N2" s="59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43.5</v>
      </c>
      <c r="X3">
        <f>MIN($C$4 + $G$4 + $I$4 + $J$4 + 20 + 8 + 7, 120)</f>
        <v>107.47</v>
      </c>
      <c r="Y3">
        <f>MIN($C$4 + $G$4 + $I$4 + $J$4 + 20 + 8 + 7 + 10, 120)</f>
        <v>117.47</v>
      </c>
      <c r="Z3">
        <f>IF(X3&gt;80, (X3-80)*1.5*(100-$F$4)/100, 0) + IF(Y3&gt;80, (Y3-80)*1.5*$F$4/100, 0) + $N$4 + 14 + 10 + 10 + 15</f>
        <v>109.705</v>
      </c>
      <c r="AA3">
        <f>(IF(X3&gt;80, 80*(100-$F$4)/100, X3*(100-$F$4)/100) + IF(Y3&gt;80, 80*$F$4/100, Y3*$F$4/100))/100*((1+$I$6/100)*(1+$J$6/100)*1.12*($D$4+$K$4+32)-100)</f>
        <v>171.00544000000002</v>
      </c>
      <c r="AC3">
        <f t="shared" ref="AC3:AC20" si="0">(100+W3)/100*(100+Z3)/100*(100+AA3)</f>
        <v>815.52765966112008</v>
      </c>
      <c r="AD3">
        <f>MATCH(MAX(AC3:AC20), AC3:AC20, 0)</f>
        <v>1</v>
      </c>
    </row>
    <row r="4" spans="1:30" ht="17.25" thickBot="1" x14ac:dyDescent="0.35">
      <c r="A4" s="34"/>
      <c r="B4" s="28">
        <v>35</v>
      </c>
      <c r="C4" s="29">
        <v>51.87</v>
      </c>
      <c r="D4" s="30">
        <v>244</v>
      </c>
      <c r="E4" s="36"/>
      <c r="F4" s="14">
        <v>90</v>
      </c>
      <c r="G4" s="15">
        <v>18.5</v>
      </c>
      <c r="H4" s="36"/>
      <c r="I4" s="18">
        <v>0</v>
      </c>
      <c r="J4" s="24">
        <v>2.1</v>
      </c>
      <c r="K4" s="19">
        <v>0</v>
      </c>
      <c r="L4" s="34"/>
      <c r="M4" s="22">
        <v>99</v>
      </c>
      <c r="N4" s="23">
        <v>6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35</v>
      </c>
      <c r="X4">
        <f>MIN($C$4 + $G$4 + $I$4 + $J$4 + 20 + 8, 120)</f>
        <v>100.47</v>
      </c>
      <c r="Y4">
        <f>MIN($C$4 + $G$4 + $I$4 + $J$4 + 20 + 8 + 10, 120)</f>
        <v>110.47</v>
      </c>
      <c r="Z4">
        <f>IF(X4&gt;80, (X4-80)*1.5*(100-$F$4)/100, 0) + IF(Y4&gt;80, (Y4-80)*1.5*$F$4/100, 0) + $N$4 + 14 + 10 + 10 + 15 + 20</f>
        <v>119.205</v>
      </c>
      <c r="AA4">
        <f>(IF(X4&gt;80, 80*(100-$F$4)/100, X4*(100-$F$4)/100) + IF(Y4&gt;80, 80*$F$4/100, Y4*$F$4/100))/100*((1+$I$6/100)*(1+$J$6/100)*1.12*($D$4+$K$4+32)-100)</f>
        <v>171.00544000000002</v>
      </c>
      <c r="AC4">
        <f t="shared" si="0"/>
        <v>801.97759091520004</v>
      </c>
    </row>
    <row r="5" spans="1:30" x14ac:dyDescent="0.3">
      <c r="A5" s="34"/>
      <c r="B5" s="34"/>
      <c r="C5" s="34"/>
      <c r="D5" s="54" t="s">
        <v>48</v>
      </c>
      <c r="E5" s="34"/>
      <c r="F5" s="54" t="s">
        <v>49</v>
      </c>
      <c r="G5" s="34"/>
      <c r="H5" s="34"/>
      <c r="I5" s="49" t="s">
        <v>45</v>
      </c>
      <c r="J5" s="55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43.5</v>
      </c>
      <c r="X5">
        <f>MIN($C$4 + $G$4 + $I$4 + $J$4 + 20 + 8 + 7, 120)</f>
        <v>107.47</v>
      </c>
      <c r="Y5">
        <f>MIN($C$4 + $G$4 + $I$4 + $J$4 + 20 + 8 + 7 + 10, 120)</f>
        <v>117.47</v>
      </c>
      <c r="Z5">
        <f>IF(X5&gt;80, (X5-80)*1.5*(100-$F$4)/100, 0) + IF(Y5&gt;80, (Y5-80)*1.5*$F$4/100, 0) + $N$4 + 14 + 10 + 10 + 15 + 20</f>
        <v>129.70499999999998</v>
      </c>
      <c r="AA5">
        <f>(IF(X5&gt;80, 80*(100-$F$4)/100, X5*(100-$F$4)/100) + IF(Y5&gt;80, 80*$F$4/100, Y5*$F$4/100))/100*((1+$I$6/100)*(1+$J$6/100)*($D$4+$K$4+32)-100)</f>
        <v>144.11199999999999</v>
      </c>
      <c r="AC5">
        <f t="shared" si="0"/>
        <v>804.65826887599985</v>
      </c>
    </row>
    <row r="6" spans="1:30" ht="17.25" thickBot="1" x14ac:dyDescent="0.35">
      <c r="A6" s="34"/>
      <c r="B6" s="34"/>
      <c r="C6" s="34"/>
      <c r="D6" s="35" t="s">
        <v>47</v>
      </c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43.5</v>
      </c>
      <c r="X6">
        <f>MIN($C$4 + $G$4 + $I$4 + $J$4 + 20 + 4 + 7, 120)</f>
        <v>103.47</v>
      </c>
      <c r="Y6">
        <f>MIN($C$4 + $G$4 + $I$4 + $J$4 + 20 + 4 + 7 + 10, 120)</f>
        <v>113.47</v>
      </c>
      <c r="Z6">
        <f>IF(X6&gt;80, (X6-80)*1.5*(100-$F$4)/100, 0) + IF(Y6&gt;80, (Y6-80)*1.5*$F$4/100, 0) + $N$4 + 14 + 5 + 20 + 15</f>
        <v>108.705</v>
      </c>
      <c r="AA6">
        <f>(IF(X6&gt;80, 80*(100-$F$4)/100, X6*(100-$F$4)/100) + IF(Y6&gt;80, 80*$F$4/100, Y6*$F$4/100))/100*((1+$I$6/100)*(1+$J$6/100)*1.12*($D$4+$K$4+32)-100)</f>
        <v>171.00544000000002</v>
      </c>
      <c r="AC6">
        <f t="shared" si="0"/>
        <v>811.63873159712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5" t="s">
        <v>63</v>
      </c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35</v>
      </c>
      <c r="X7">
        <f>MIN($C$4 + $G$4 + $I$4 + $J$4 + 20 + 4, 120)</f>
        <v>96.47</v>
      </c>
      <c r="Y7">
        <f>MIN($C$4 + $G$4 + $I$4 + $J$4 + 20 + 4 + 10, 120)</f>
        <v>106.47</v>
      </c>
      <c r="Z7">
        <f>IF(X7&gt;80, (X7-80)*1.5*(100-$F$4)/100, 0) + IF(Y7&gt;80, (Y7-80)*1.5*$F$4/100, 0) + $N$4 + 14 + 5 + 20 + 15 + 20</f>
        <v>118.205</v>
      </c>
      <c r="AA7">
        <f>(IF(X7&gt;80, 80*(100-$F$4)/100, X7*(100-$F$4)/100) + IF(Y7&gt;80, 80*$F$4/100, Y7*$F$4/100))/100*((1+$I$6/100)*(1+$J$6/100)*1.12*($D$4+$K$4+32)-100)</f>
        <v>171.00544000000002</v>
      </c>
      <c r="AC7">
        <f t="shared" si="0"/>
        <v>798.3190174752001</v>
      </c>
    </row>
    <row r="8" spans="1:30" ht="17.25" customHeight="1" thickTop="1" x14ac:dyDescent="0.3">
      <c r="A8" s="40"/>
      <c r="B8" s="47"/>
      <c r="C8" s="47"/>
      <c r="D8" s="38"/>
      <c r="E8" s="61" t="s">
        <v>43</v>
      </c>
      <c r="F8" s="61"/>
      <c r="G8" s="61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43.5</v>
      </c>
      <c r="X8">
        <f>MIN($C$4 + $G$4 + $I$4 + $J$4 + 20 + 4 + 7, 120)</f>
        <v>103.47</v>
      </c>
      <c r="Y8">
        <f>MIN($C$4 + $G$4 + $I$4 + $J$4 + 20 + 4 + 7 + 10, 120)</f>
        <v>113.47</v>
      </c>
      <c r="Z8">
        <f>IF(X8&gt;80, (X8-80)*1.5*(100-$F$4)/100, 0) + IF(Y8&gt;80, (Y8-80)*1.5*$F$4/100, 0) + $N$4 + 14 + 5 + 20 + 15 + 20</f>
        <v>128.70499999999998</v>
      </c>
      <c r="AA8">
        <f>(IF(X8&gt;80, 80*(100-$F$4)/100, X8*(100-$F$4)/100) + IF(Y8&gt;80, 80*$F$4/100, Y8*$F$4/100))/100*((1+$I$6/100)*(1+$J$6/100)*($D$4+$K$4+32)-100)</f>
        <v>144.11199999999999</v>
      </c>
      <c r="AC8">
        <f t="shared" si="0"/>
        <v>801.1552616759999</v>
      </c>
    </row>
    <row r="9" spans="1:30" x14ac:dyDescent="0.3">
      <c r="A9" s="40"/>
      <c r="B9" s="47"/>
      <c r="C9" s="47"/>
      <c r="D9" s="47"/>
      <c r="E9" s="62"/>
      <c r="F9" s="62"/>
      <c r="G9" s="62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43.5</v>
      </c>
      <c r="X9">
        <f>MIN($C$4 + $G$4 + $I$4 + $J$4 + 20 + 7, 120)</f>
        <v>99.47</v>
      </c>
      <c r="Y9">
        <f>MIN($C$4 + $G$4 + $I$4 + $J$4 + 20 + 7 + 10, 120)</f>
        <v>109.47</v>
      </c>
      <c r="Z9">
        <f>IF(X9&gt;80, (X9-80)*1.5*(100-$F$4)/100, 0) + IF(Y9&gt;80, (Y9-80)*1.5*$F$4/100, 0) + $N$4 + 14 + 30 + 15</f>
        <v>107.705</v>
      </c>
      <c r="AA9">
        <f>(IF(X9&gt;80, 80*(100-$F$4)/100, X9*(100-$F$4)/100) + IF(Y9&gt;80, 80*$F$4/100, Y9*$F$4/100))/100*((1+$I$6/100)*(1+$J$6/100)*1.12*($D$4+$K$4+32)-100)</f>
        <v>171.00544000000002</v>
      </c>
      <c r="AC9">
        <f t="shared" si="0"/>
        <v>807.74980353312003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35</v>
      </c>
      <c r="X10">
        <f>MIN($C$4 + $G$4 + $I$4 + $J$4 + 20, 120)</f>
        <v>92.47</v>
      </c>
      <c r="Y10">
        <f>MIN($C$4 + $G$4 + $I$4 + $J$4 + 20 + 10, 120)</f>
        <v>102.47</v>
      </c>
      <c r="Z10">
        <f>IF(X10&gt;80, (X10-80)*1.5*(100-$F$4)/100, 0) + IF(Y10&gt;80, (Y10-80)*1.5*$F$4/100, 0) + $N$4 + 14 + 30 + 15 + 20</f>
        <v>117.205</v>
      </c>
      <c r="AA10">
        <f>(IF(X10&gt;80, 80*(100-$F$4)/100, X10*(100-$F$4)/100) + IF(Y10&gt;80, 80*$F$4/100, Y10*$F$4/100))/100*((1+$I$6/100)*(1+$J$6/100)*1.12*($D$4+$K$4+32)-100)</f>
        <v>171.00544000000002</v>
      </c>
      <c r="AC10">
        <f t="shared" si="0"/>
        <v>794.66044403520004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43.5</v>
      </c>
      <c r="X11">
        <f>MIN($C$4 + $G$4 + $I$4 + $J$4 + 20 + 7, 120)</f>
        <v>99.47</v>
      </c>
      <c r="Y11">
        <f>MIN($C$4 + $G$4 + $I$4 + $J$4 + 20 + 7 + 10, 120)</f>
        <v>109.47</v>
      </c>
      <c r="Z11">
        <f>IF(X11&gt;80, (X11-80)*1.5*(100-$F$4)/100, 0) + IF(Y11&gt;80, (Y11-80)*1.5*$F$4/100, 0) + $N$4 + 14 + 30 + 15 + 20</f>
        <v>127.705</v>
      </c>
      <c r="AA11">
        <f>(IF(X11&gt;80, 80*(100-$F$4)/100, X11*(100-$F$4)/100) + IF(Y11&gt;80, 80*$F$4/100, Y11*$F$4/100))/100*((1+$I$6/100)*(1+$J$6/100)*($D$4+$K$4+32)-100)</f>
        <v>144.11199999999999</v>
      </c>
      <c r="AC11">
        <f t="shared" si="0"/>
        <v>797.65225447599994</v>
      </c>
      <c r="AD11" t="s">
        <v>39</v>
      </c>
    </row>
    <row r="12" spans="1:30" x14ac:dyDescent="0.3">
      <c r="A12" s="40"/>
      <c r="B12" s="47"/>
      <c r="C12" s="47"/>
      <c r="D12" s="48"/>
      <c r="E12" s="85" t="s">
        <v>44</v>
      </c>
      <c r="F12" s="85"/>
      <c r="G12" s="85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43.5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60.91</v>
      </c>
      <c r="AA12">
        <f>(X12*(100-$F$4)/100 + Y12*$F$4/100)/100*((1+$I$6/100)*(1+$J$6/100)*1.12*($D$4+$K$4+32)-100)</f>
        <v>213.7568</v>
      </c>
      <c r="AC12">
        <f t="shared" si="0"/>
        <v>724.48280597280007</v>
      </c>
      <c r="AD12">
        <f>MATCH(MAX(AC12:AC20), AC3:AC20, 0)</f>
        <v>17</v>
      </c>
    </row>
    <row r="13" spans="1:30" ht="17.25" thickBot="1" x14ac:dyDescent="0.35">
      <c r="A13" s="40"/>
      <c r="B13" s="57"/>
      <c r="C13" s="57"/>
      <c r="D13" s="57"/>
      <c r="E13" s="57"/>
      <c r="F13" s="57"/>
      <c r="G13" s="57"/>
      <c r="H13" s="57"/>
      <c r="I13" s="57"/>
      <c r="J13" s="57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35</v>
      </c>
      <c r="X13">
        <f>MIN($C$4 + $G$4 + $I$4 + $J$4 + 20 + 8, 100)</f>
        <v>100</v>
      </c>
      <c r="Y13">
        <f>MIN($C$4 + $G$4 + $I$4 + $J$4 + 20 + 8 + 10, 100)</f>
        <v>100</v>
      </c>
      <c r="Z13">
        <f>$N$4 + 14 + 10 + 10 + 12 + 20 + $M$4*9/100</f>
        <v>80.91</v>
      </c>
      <c r="AA13">
        <f>(X13*(100-$F$4)/100 + Y13*$F$4/100)/100*((1+$I$6/100)*(1+$J$6/100)*1.12*($D$4+$K$4+32)-100)</f>
        <v>213.7568</v>
      </c>
      <c r="AC13">
        <f t="shared" si="0"/>
        <v>766.28352628799996</v>
      </c>
    </row>
    <row r="14" spans="1:30" x14ac:dyDescent="0.3">
      <c r="A14" s="40"/>
      <c r="B14" s="56"/>
      <c r="C14" s="71" t="s">
        <v>15</v>
      </c>
      <c r="D14" s="72"/>
      <c r="E14" s="72"/>
      <c r="F14" s="72"/>
      <c r="G14" s="72"/>
      <c r="H14" s="72"/>
      <c r="I14" s="73"/>
      <c r="J14" s="86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43.5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80.91</v>
      </c>
      <c r="AA14">
        <f>(X14*(100-$F$4)/100 + Y14*$F$4/100)/100*((1+$I$6/100)*(1+$J$6/100)*($D$4+$K$4+32)-100)</f>
        <v>180.14</v>
      </c>
      <c r="AC14">
        <f t="shared" si="0"/>
        <v>727.25982819000001</v>
      </c>
    </row>
    <row r="15" spans="1:30" x14ac:dyDescent="0.3">
      <c r="A15" s="40"/>
      <c r="B15" s="56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6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43.5</v>
      </c>
      <c r="X15">
        <f>MIN($C$4 + $G$4 + $I$4 + $J$4 + 20 + 4 + 7, 100)</f>
        <v>100</v>
      </c>
      <c r="Y15">
        <f>MIN($C$4 + $G$4 + $I$4 + $J$4 + 20 + 4 + 7 + 10, 100)</f>
        <v>100</v>
      </c>
      <c r="Z15">
        <f>$N$4 + 14 + 5 + 20 + 12 + $M$4*9/100</f>
        <v>65.91</v>
      </c>
      <c r="AA15">
        <f>(X15*(100-$F$4)/100 + Y15*$F$4/100)/100*((1+$I$6/100)*(1+$J$6/100)*1.12*($D$4+$K$4+32)-100)</f>
        <v>213.7568</v>
      </c>
      <c r="AC15">
        <f t="shared" si="0"/>
        <v>746.99485637279997</v>
      </c>
    </row>
    <row r="16" spans="1:30" ht="16.5" customHeight="1" thickBot="1" x14ac:dyDescent="0.35">
      <c r="A16" s="40"/>
      <c r="B16" s="56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6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35</v>
      </c>
      <c r="X16">
        <f>MIN($C$4 + $G$4 + $I$4 + $J$4 + 20 + 4, 100)</f>
        <v>96.47</v>
      </c>
      <c r="Y16">
        <f>MIN($C$4 + $G$4 + $I$4 + $J$4 + 20 + 4 + 10, 100)</f>
        <v>100</v>
      </c>
      <c r="Z16">
        <f>$N$4 + 14 + 5 + 20 + 12 + 20 + $M$4*9/100</f>
        <v>85.91</v>
      </c>
      <c r="AA16">
        <f>(X16*(100-$F$4)/100 + Y16*$F$4/100)/100*((1+$I$6/100)*(1+$J$6/100)*1.12*($D$4+$K$4+32)-100)</f>
        <v>213.00223849600002</v>
      </c>
      <c r="AC16">
        <f t="shared" si="0"/>
        <v>785.56832314368353</v>
      </c>
    </row>
    <row r="17" spans="1:29" x14ac:dyDescent="0.3">
      <c r="A17" s="40"/>
      <c r="B17" s="56"/>
      <c r="C17" s="6" t="s">
        <v>18</v>
      </c>
      <c r="D17" s="4"/>
      <c r="E17" s="4"/>
      <c r="F17" s="5" t="s">
        <v>38</v>
      </c>
      <c r="G17" s="4"/>
      <c r="H17" s="4"/>
      <c r="I17" s="7"/>
      <c r="J17" s="86"/>
      <c r="K17" s="47"/>
      <c r="L17" s="76" t="s">
        <v>42</v>
      </c>
      <c r="M17" s="77"/>
      <c r="N17" s="77"/>
      <c r="O17" s="78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43.5</v>
      </c>
      <c r="X17">
        <f>MIN($C$4 + $G$4 + $I$4 + $J$4 + 20 + 4 + 7, 100)</f>
        <v>100</v>
      </c>
      <c r="Y17">
        <f>MIN($C$4 + $G$4 + $I$4 + $J$4 + 20 + 4 + 7 + 10, 100)</f>
        <v>100</v>
      </c>
      <c r="Z17">
        <f>$N$4 + 14 + 5 + 20 + 12 + 20 + $M$4*9/100</f>
        <v>85.91</v>
      </c>
      <c r="AA17">
        <f>(X17*(100-$F$4)/100 + Y17*$F$4/100)/100*((1+$I$6/100)*(1+$J$6/100)*($D$4+$K$4+32)-100)</f>
        <v>180.14</v>
      </c>
      <c r="AC17">
        <f t="shared" si="0"/>
        <v>747.35987318999992</v>
      </c>
    </row>
    <row r="18" spans="1:29" x14ac:dyDescent="0.3">
      <c r="A18" s="40"/>
      <c r="B18" s="56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X</v>
      </c>
      <c r="G18" s="4"/>
      <c r="H18" s="4"/>
      <c r="I18" s="7"/>
      <c r="J18" s="86"/>
      <c r="K18" s="47"/>
      <c r="L18" s="79"/>
      <c r="M18" s="80"/>
      <c r="N18" s="80"/>
      <c r="O18" s="81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43.5</v>
      </c>
      <c r="X18">
        <f>MIN($C$4 + $G$4 + $I$4 + $J$4 + 20 + 7, 100)</f>
        <v>99.47</v>
      </c>
      <c r="Y18">
        <f>MIN($C$4 + $G$4 + $I$4 + $J$4 + 20 + 7 + 10, 100)</f>
        <v>100</v>
      </c>
      <c r="Z18">
        <f>$N$4 + 14 + 30 + 12 + $M$4*9/100</f>
        <v>70.91</v>
      </c>
      <c r="AA18">
        <f>(X18*(100-$F$4)/100 + Y18*$F$4/100)/100*((1+$I$6/100)*(1+$J$6/100)*1.12*($D$4+$K$4+32)-100)</f>
        <v>213.64350889600001</v>
      </c>
      <c r="AC18">
        <f t="shared" si="0"/>
        <v>769.22905371271054</v>
      </c>
    </row>
    <row r="19" spans="1:29" ht="17.25" thickBot="1" x14ac:dyDescent="0.35">
      <c r="A19" s="40"/>
      <c r="B19" s="56"/>
      <c r="C19" s="8" t="s">
        <v>20</v>
      </c>
      <c r="D19" s="9" t="str">
        <f>IF(AD3&lt;10, "뭉가2", "X")</f>
        <v>뭉가2</v>
      </c>
      <c r="E19" s="10"/>
      <c r="F19" s="10"/>
      <c r="G19" s="9" t="str">
        <f>IF(AD3&lt;10, "X", "입타2")</f>
        <v>X</v>
      </c>
      <c r="H19" s="10"/>
      <c r="I19" s="11"/>
      <c r="J19" s="86"/>
      <c r="K19" s="47"/>
      <c r="L19" s="79"/>
      <c r="M19" s="80"/>
      <c r="N19" s="80"/>
      <c r="O19" s="81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35</v>
      </c>
      <c r="X19">
        <f>MIN($C$4 + $G$4 + $I$4 + $J$4 + 20, 100)</f>
        <v>92.47</v>
      </c>
      <c r="Y19">
        <f>MIN($C$4 + $G$4 + $I$4 + $J$4 + 20 + 10, 100)</f>
        <v>100</v>
      </c>
      <c r="Z19">
        <f>$N$4 + 14 + 30 + 12 + 20 + $M$4*9/100</f>
        <v>90.91</v>
      </c>
      <c r="AA19">
        <f>(X19*(100-$F$4)/100 + Y19*$F$4/100)/100*((1+$I$6/100)*(1+$J$6/100)*1.12*($D$4+$K$4+32)-100)</f>
        <v>212.14721129599999</v>
      </c>
      <c r="AC19">
        <f t="shared" si="0"/>
        <v>804.49232546501139</v>
      </c>
    </row>
    <row r="20" spans="1:29" x14ac:dyDescent="0.3">
      <c r="A20" s="40"/>
      <c r="B20" s="57"/>
      <c r="C20" s="57"/>
      <c r="D20" s="57"/>
      <c r="E20" s="57"/>
      <c r="F20" s="57"/>
      <c r="G20" s="57"/>
      <c r="H20" s="57"/>
      <c r="I20" s="57"/>
      <c r="J20" s="57"/>
      <c r="K20" s="47"/>
      <c r="L20" s="79"/>
      <c r="M20" s="80"/>
      <c r="N20" s="80"/>
      <c r="O20" s="81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43.5</v>
      </c>
      <c r="X20">
        <f>MIN($C$4 + $G$4 + $I$4 + $J$4 + 20 + 7, 100)</f>
        <v>99.47</v>
      </c>
      <c r="Y20">
        <f>MIN($C$4 + $G$4 + $I$4 + $J$4 + 20 + 7 + 10, 100)</f>
        <v>100</v>
      </c>
      <c r="Z20">
        <f>$N$4 + 14 + 30 + 12 + 20 + $M$4*9/100</f>
        <v>90.91</v>
      </c>
      <c r="AA20">
        <f>(X20*(100-$F$4)/100 + Y20*$F$4/100)/100*((1+$I$6/100)*(1+$J$6/100)*($D$4+$K$4+32)-100)</f>
        <v>180.0445258</v>
      </c>
      <c r="AC20">
        <f t="shared" si="0"/>
        <v>767.19836103385921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9"/>
      <c r="M21" s="80"/>
      <c r="N21" s="80"/>
      <c r="O21" s="81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9"/>
      <c r="M22" s="80"/>
      <c r="N22" s="80"/>
      <c r="O22" s="81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9"/>
      <c r="M23" s="80"/>
      <c r="N23" s="80"/>
      <c r="O23" s="81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60" t="str">
        <f>IF(AD3&lt;10, "그런데 뭉가 끼면", "원래 입타에요")</f>
        <v>그런데 뭉가 끼면</v>
      </c>
      <c r="J24" s="60"/>
      <c r="K24" s="47"/>
      <c r="L24" s="79"/>
      <c r="M24" s="80"/>
      <c r="N24" s="80"/>
      <c r="O24" s="81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60" t="s">
        <v>41</v>
      </c>
      <c r="F25" s="60"/>
      <c r="G25" s="60"/>
      <c r="H25" s="47"/>
      <c r="I25" s="46">
        <f>IF(AD3&lt;10, (MAX(AC3:AC20)/MAX(AC12:AC20)-1)*100, "")</f>
        <v>1.371714042110983</v>
      </c>
      <c r="J25" s="45" t="str">
        <f>IF(AD3&lt;10, "% 더세요", "")</f>
        <v>% 더세요</v>
      </c>
      <c r="K25" s="47"/>
      <c r="L25" s="82"/>
      <c r="M25" s="83"/>
      <c r="N25" s="83"/>
      <c r="O25" s="84"/>
      <c r="P25" s="50"/>
      <c r="Q25" s="51"/>
      <c r="R25" s="52"/>
    </row>
    <row r="26" spans="1:29" ht="17.25" thickBot="1" x14ac:dyDescent="0.35">
      <c r="A26" s="40"/>
      <c r="B26" s="60"/>
      <c r="C26" s="60"/>
      <c r="D26" s="60"/>
      <c r="E26" s="60"/>
      <c r="F26" s="60"/>
      <c r="G26" s="60"/>
      <c r="H26" s="60"/>
      <c r="I26" s="60"/>
      <c r="J26" s="60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5"/>
      <c r="C27" s="31" t="s">
        <v>15</v>
      </c>
      <c r="D27" s="32"/>
      <c r="E27" s="32"/>
      <c r="F27" s="32"/>
      <c r="G27" s="32"/>
      <c r="H27" s="32"/>
      <c r="I27" s="33"/>
      <c r="J27" s="74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5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4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5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X</v>
      </c>
      <c r="G29" s="3" t="str">
        <f>IF(OR(AD12=1, AD12=2, AD12=3, AD12=10, AD12=11, AD12=12), "한돌1", IF(OR(AD12=4, AD12=5, AD12=6, AD12=13, AD12=14, AD12=15), "한돌2", "한돌3"))</f>
        <v>한돌3</v>
      </c>
      <c r="H29" s="4"/>
      <c r="I29" s="7"/>
      <c r="J29" s="74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5"/>
      <c r="C30" s="6" t="s">
        <v>18</v>
      </c>
      <c r="D30" s="4"/>
      <c r="E30" s="4"/>
      <c r="F30" s="5" t="s">
        <v>38</v>
      </c>
      <c r="G30" s="4"/>
      <c r="H30" s="4"/>
      <c r="I30" s="7"/>
      <c r="J30" s="74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5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4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5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4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60"/>
      <c r="C33" s="60"/>
      <c r="D33" s="60"/>
      <c r="E33" s="60"/>
      <c r="F33" s="60"/>
      <c r="G33" s="60"/>
      <c r="H33" s="60"/>
      <c r="I33" s="60"/>
      <c r="J33" s="60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  <mergeCell ref="B26:J26"/>
    <mergeCell ref="B27:B32"/>
    <mergeCell ref="J27:J32"/>
    <mergeCell ref="B33:J33"/>
    <mergeCell ref="B13:J13"/>
    <mergeCell ref="B14:B19"/>
    <mergeCell ref="C14:I14"/>
    <mergeCell ref="J14:J1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948F-604C-44FC-9C19-825E53BC7D89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 t="s">
        <v>50</v>
      </c>
      <c r="B1" s="54" t="s">
        <v>60</v>
      </c>
      <c r="C1" s="54" t="s">
        <v>54</v>
      </c>
      <c r="D1" s="54" t="s">
        <v>55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3" t="s">
        <v>10</v>
      </c>
      <c r="C2" s="64"/>
      <c r="D2" s="65"/>
      <c r="E2" s="34"/>
      <c r="F2" s="66" t="s">
        <v>9</v>
      </c>
      <c r="G2" s="67"/>
      <c r="H2" s="34"/>
      <c r="I2" s="68" t="s">
        <v>8</v>
      </c>
      <c r="J2" s="69"/>
      <c r="K2" s="70"/>
      <c r="L2" s="34"/>
      <c r="M2" s="58" t="s">
        <v>11</v>
      </c>
      <c r="N2" s="59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41.54</v>
      </c>
      <c r="X3">
        <f>MIN($C$4 + $G$4 + $I$4 + $J$4 + 20 + 8 + 7, 120)</f>
        <v>113.44999999999999</v>
      </c>
      <c r="Y3">
        <f>MIN($C$4 + $G$4 + $I$4 + $J$4 + 20 + 8 + 7 + 10, 120)</f>
        <v>120</v>
      </c>
      <c r="Z3">
        <f>IF(X3&gt;80, (X3-80)*1.5*(100-$F$4)/100, 0) + IF(Y3&gt;80, (Y3-80)*1.5*$F$4/100, 0) + $N$4 + 14 + 10 + 10 + 15</f>
        <v>110.035</v>
      </c>
      <c r="AA3">
        <f>(IF(X3&gt;80, 80*(100-$F$4)/100, X3*(100-$F$4)/100) + IF(Y3&gt;80, 80*$F$4/100, Y3*$F$4/100))/100*((1+$I$6/100)*(1+$J$6/100)*1.12*($D$4+$K$4+32)-100)</f>
        <v>143.72224000000003</v>
      </c>
      <c r="AC3">
        <f t="shared" ref="AC3:AC20" si="0">(100+W3)/100*(100+Z3)/100*(100+AA3)</f>
        <v>724.54610040207376</v>
      </c>
      <c r="AD3">
        <f>MATCH(MAX(AC3:AC20), AC3:AC20, 0)</f>
        <v>4</v>
      </c>
    </row>
    <row r="4" spans="1:30" ht="17.25" thickBot="1" x14ac:dyDescent="0.35">
      <c r="A4" s="34"/>
      <c r="B4" s="28">
        <v>33.04</v>
      </c>
      <c r="C4" s="29">
        <v>57.85</v>
      </c>
      <c r="D4" s="30">
        <v>214</v>
      </c>
      <c r="E4" s="36"/>
      <c r="F4" s="14">
        <v>80</v>
      </c>
      <c r="G4" s="15">
        <v>18.5</v>
      </c>
      <c r="H4" s="36"/>
      <c r="I4" s="18">
        <v>0</v>
      </c>
      <c r="J4" s="24">
        <v>2.1</v>
      </c>
      <c r="K4" s="19">
        <v>0</v>
      </c>
      <c r="L4" s="34"/>
      <c r="M4" s="22">
        <v>99</v>
      </c>
      <c r="N4" s="23">
        <v>3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33.04</v>
      </c>
      <c r="X4">
        <f>MIN($C$4 + $G$4 + $I$4 + $J$4 + 20 + 8, 120)</f>
        <v>106.44999999999999</v>
      </c>
      <c r="Y4">
        <f>MIN($C$4 + $G$4 + $I$4 + $J$4 + 20 + 8 + 10, 120)</f>
        <v>116.44999999999999</v>
      </c>
      <c r="Z4">
        <f>IF(X4&gt;80, (X4-80)*1.5*(100-$F$4)/100, 0) + IF(Y4&gt;80, (Y4-80)*1.5*$F$4/100, 0) + $N$4 + 14 + 10 + 10 + 15 + 20</f>
        <v>123.67499999999998</v>
      </c>
      <c r="AA4">
        <f>(IF(X4&gt;80, 80*(100-$F$4)/100, X4*(100-$F$4)/100) + IF(Y4&gt;80, 80*$F$4/100, Y4*$F$4/100))/100*((1+$I$6/100)*(1+$J$6/100)*1.12*($D$4+$K$4+32)-100)</f>
        <v>143.72224000000003</v>
      </c>
      <c r="AC4">
        <f t="shared" si="0"/>
        <v>725.26186631372809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55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41.54</v>
      </c>
      <c r="X5">
        <f>MIN($C$4 + $G$4 + $I$4 + $J$4 + 20 + 8 + 7, 120)</f>
        <v>113.44999999999999</v>
      </c>
      <c r="Y5">
        <f>MIN($C$4 + $G$4 + $I$4 + $J$4 + 20 + 8 + 7 + 10, 120)</f>
        <v>120</v>
      </c>
      <c r="Z5">
        <f>IF(X5&gt;80, (X5-80)*1.5*(100-$F$4)/100, 0) + IF(Y5&gt;80, (Y5-80)*1.5*$F$4/100, 0) + $N$4 + 14 + 10 + 10 + 15 + 20</f>
        <v>130.035</v>
      </c>
      <c r="AA5">
        <f>(IF(X5&gt;80, 80*(100-$F$4)/100, X5*(100-$F$4)/100) + IF(Y5&gt;80, 80*$F$4/100, Y5*$F$4/100))/100*((1+$I$6/100)*(1+$J$6/100)*($D$4+$K$4+32)-100)</f>
        <v>119.75199999999998</v>
      </c>
      <c r="AC5">
        <f t="shared" si="0"/>
        <v>715.49391878327992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41.54</v>
      </c>
      <c r="X6">
        <f>MIN($C$4 + $G$4 + $I$4 + $J$4 + 20 + 4 + 7, 120)</f>
        <v>109.44999999999999</v>
      </c>
      <c r="Y6">
        <f>MIN($C$4 + $G$4 + $I$4 + $J$4 + 20 + 4 + 7 + 10, 120)</f>
        <v>119.44999999999999</v>
      </c>
      <c r="Z6">
        <f>IF(X6&gt;80, (X6-80)*1.5*(100-$F$4)/100, 0) + IF(Y6&gt;80, (Y6-80)*1.5*$F$4/100, 0) + $N$4 + 14 + 5 + 20 + 15</f>
        <v>113.17499999999998</v>
      </c>
      <c r="AA6">
        <f>(IF(X6&gt;80, 80*(100-$F$4)/100, X6*(100-$F$4)/100) + IF(Y6&gt;80, 80*$F$4/100, Y6*$F$4/100))/100*((1+$I$6/100)*(1+$J$6/100)*1.12*($D$4+$K$4+32)-100)</f>
        <v>143.72224000000003</v>
      </c>
      <c r="AC6">
        <f t="shared" si="0"/>
        <v>735.37798439884796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5" t="s">
        <v>63</v>
      </c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33.04</v>
      </c>
      <c r="X7">
        <f>MIN($C$4 + $G$4 + $I$4 + $J$4 + 20 + 4, 120)</f>
        <v>102.44999999999999</v>
      </c>
      <c r="Y7">
        <f>MIN($C$4 + $G$4 + $I$4 + $J$4 + 20 + 4 + 10, 120)</f>
        <v>112.44999999999999</v>
      </c>
      <c r="Z7">
        <f>IF(X7&gt;80, (X7-80)*1.5*(100-$F$4)/100, 0) + IF(Y7&gt;80, (Y7-80)*1.5*$F$4/100, 0) + $N$4 + 14 + 5 + 20 + 15 + 20</f>
        <v>122.67499999999998</v>
      </c>
      <c r="AA7">
        <f>(IF(X7&gt;80, 80*(100-$F$4)/100, X7*(100-$F$4)/100) + IF(Y7&gt;80, 80*$F$4/100, Y7*$F$4/100))/100*((1+$I$6/100)*(1+$J$6/100)*1.12*($D$4+$K$4+32)-100)</f>
        <v>143.72224000000003</v>
      </c>
      <c r="AC7">
        <f t="shared" si="0"/>
        <v>722.01938563276792</v>
      </c>
    </row>
    <row r="8" spans="1:30" ht="17.25" customHeight="1" thickTop="1" x14ac:dyDescent="0.3">
      <c r="A8" s="40"/>
      <c r="B8" s="47"/>
      <c r="C8" s="47"/>
      <c r="D8" s="38"/>
      <c r="E8" s="61" t="s">
        <v>43</v>
      </c>
      <c r="F8" s="61"/>
      <c r="G8" s="61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41.54</v>
      </c>
      <c r="X8">
        <f>MIN($C$4 + $G$4 + $I$4 + $J$4 + 20 + 4 + 7, 120)</f>
        <v>109.44999999999999</v>
      </c>
      <c r="Y8">
        <f>MIN($C$4 + $G$4 + $I$4 + $J$4 + 20 + 4 + 7 + 10, 120)</f>
        <v>119.44999999999999</v>
      </c>
      <c r="Z8">
        <f>IF(X8&gt;80, (X8-80)*1.5*(100-$F$4)/100, 0) + IF(Y8&gt;80, (Y8-80)*1.5*$F$4/100, 0) + $N$4 + 14 + 5 + 20 + 15 + 20</f>
        <v>133.17499999999998</v>
      </c>
      <c r="AA8">
        <f>(IF(X8&gt;80, 80*(100-$F$4)/100, X8*(100-$F$4)/100) + IF(Y8&gt;80, 80*$F$4/100, Y8*$F$4/100))/100*((1+$I$6/100)*(1+$J$6/100)*($D$4+$K$4+32)-100)</f>
        <v>119.75199999999998</v>
      </c>
      <c r="AC8">
        <f t="shared" si="0"/>
        <v>725.26047998039985</v>
      </c>
    </row>
    <row r="9" spans="1:30" x14ac:dyDescent="0.3">
      <c r="A9" s="40"/>
      <c r="B9" s="47"/>
      <c r="C9" s="47"/>
      <c r="D9" s="47"/>
      <c r="E9" s="62"/>
      <c r="F9" s="62"/>
      <c r="G9" s="62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41.54</v>
      </c>
      <c r="X9">
        <f>MIN($C$4 + $G$4 + $I$4 + $J$4 + 20 + 7, 120)</f>
        <v>105.44999999999999</v>
      </c>
      <c r="Y9">
        <f>MIN($C$4 + $G$4 + $I$4 + $J$4 + 20 + 7 + 10, 120)</f>
        <v>115.44999999999999</v>
      </c>
      <c r="Z9">
        <f>IF(X9&gt;80, (X9-80)*1.5*(100-$F$4)/100, 0) + IF(Y9&gt;80, (Y9-80)*1.5*$F$4/100, 0) + $N$4 + 14 + 30 + 15</f>
        <v>112.17499999999998</v>
      </c>
      <c r="AA9">
        <f>(IF(X9&gt;80, 80*(100-$F$4)/100, X9*(100-$F$4)/100) + IF(Y9&gt;80, 80*$F$4/100, Y9*$F$4/100))/100*((1+$I$6/100)*(1+$J$6/100)*1.12*($D$4+$K$4+32)-100)</f>
        <v>143.72224000000003</v>
      </c>
      <c r="AC9">
        <f t="shared" si="0"/>
        <v>731.92833981388799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33.04</v>
      </c>
      <c r="X10">
        <f>MIN($C$4 + $G$4 + $I$4 + $J$4 + 20, 120)</f>
        <v>98.449999999999989</v>
      </c>
      <c r="Y10">
        <f>MIN($C$4 + $G$4 + $I$4 + $J$4 + 20 + 10, 120)</f>
        <v>108.44999999999999</v>
      </c>
      <c r="Z10">
        <f>IF(X10&gt;80, (X10-80)*1.5*(100-$F$4)/100, 0) + IF(Y10&gt;80, (Y10-80)*1.5*$F$4/100, 0) + $N$4 + 14 + 30 + 15 + 20</f>
        <v>121.67499999999998</v>
      </c>
      <c r="AA10">
        <f>(IF(X10&gt;80, 80*(100-$F$4)/100, X10*(100-$F$4)/100) + IF(Y10&gt;80, 80*$F$4/100, Y10*$F$4/100))/100*((1+$I$6/100)*(1+$J$6/100)*1.12*($D$4+$K$4+32)-100)</f>
        <v>143.72224000000003</v>
      </c>
      <c r="AC10">
        <f t="shared" si="0"/>
        <v>718.77690495180798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41.54</v>
      </c>
      <c r="X11">
        <f>MIN($C$4 + $G$4 + $I$4 + $J$4 + 20 + 7, 120)</f>
        <v>105.44999999999999</v>
      </c>
      <c r="Y11">
        <f>MIN($C$4 + $G$4 + $I$4 + $J$4 + 20 + 7 + 10, 120)</f>
        <v>115.44999999999999</v>
      </c>
      <c r="Z11">
        <f>IF(X11&gt;80, (X11-80)*1.5*(100-$F$4)/100, 0) + IF(Y11&gt;80, (Y11-80)*1.5*$F$4/100, 0) + $N$4 + 14 + 30 + 15 + 20</f>
        <v>132.17499999999998</v>
      </c>
      <c r="AA11">
        <f>(IF(X11&gt;80, 80*(100-$F$4)/100, X11*(100-$F$4)/100) + IF(Y11&gt;80, 80*$F$4/100, Y11*$F$4/100))/100*((1+$I$6/100)*(1+$J$6/100)*($D$4+$K$4+32)-100)</f>
        <v>119.75199999999998</v>
      </c>
      <c r="AC11">
        <f t="shared" si="0"/>
        <v>722.15011017239988</v>
      </c>
      <c r="AD11" t="s">
        <v>39</v>
      </c>
    </row>
    <row r="12" spans="1:30" x14ac:dyDescent="0.3">
      <c r="A12" s="40"/>
      <c r="B12" s="47"/>
      <c r="C12" s="47"/>
      <c r="D12" s="48"/>
      <c r="E12" s="85" t="s">
        <v>44</v>
      </c>
      <c r="F12" s="85"/>
      <c r="G12" s="85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41.54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57.91</v>
      </c>
      <c r="AA12">
        <f>(X12*(100-$F$4)/100 + Y12*$F$4/100)/100*((1+$I$6/100)*(1+$J$6/100)*1.12*($D$4+$K$4+32)-100)</f>
        <v>179.65280000000001</v>
      </c>
      <c r="AC12">
        <f t="shared" si="0"/>
        <v>625.040267013792</v>
      </c>
      <c r="AD12">
        <f>MATCH(MAX(AC12:AC20), AC3:AC20, 0)</f>
        <v>17</v>
      </c>
    </row>
    <row r="13" spans="1:30" ht="17.25" thickBot="1" x14ac:dyDescent="0.35">
      <c r="A13" s="40"/>
      <c r="B13" s="57"/>
      <c r="C13" s="57"/>
      <c r="D13" s="57"/>
      <c r="E13" s="57"/>
      <c r="F13" s="57"/>
      <c r="G13" s="57"/>
      <c r="H13" s="57"/>
      <c r="I13" s="57"/>
      <c r="J13" s="57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33.04</v>
      </c>
      <c r="X13">
        <f>MIN($C$4 + $G$4 + $I$4 + $J$4 + 20 + 8, 100)</f>
        <v>100</v>
      </c>
      <c r="Y13">
        <f>MIN($C$4 + $G$4 + $I$4 + $J$4 + 20 + 8 + 10, 100)</f>
        <v>100</v>
      </c>
      <c r="Z13">
        <f>$N$4 + 14 + 10 + 10 + 12 + 20 + $M$4*9/100</f>
        <v>77.91</v>
      </c>
      <c r="AA13">
        <f>(X13*(100-$F$4)/100 + Y13*$F$4/100)/100*((1+$I$6/100)*(1+$J$6/100)*1.12*($D$4+$K$4+32)-100)</f>
        <v>179.65280000000001</v>
      </c>
      <c r="AC13">
        <f t="shared" si="0"/>
        <v>661.91430643699209</v>
      </c>
    </row>
    <row r="14" spans="1:30" x14ac:dyDescent="0.3">
      <c r="A14" s="40"/>
      <c r="B14" s="56"/>
      <c r="C14" s="71" t="s">
        <v>15</v>
      </c>
      <c r="D14" s="72"/>
      <c r="E14" s="72"/>
      <c r="F14" s="72"/>
      <c r="G14" s="72"/>
      <c r="H14" s="72"/>
      <c r="I14" s="73"/>
      <c r="J14" s="86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41.54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77.91</v>
      </c>
      <c r="AA14">
        <f>(X14*(100-$F$4)/100 + Y14*$F$4/100)/100*((1+$I$6/100)*(1+$J$6/100)*($D$4+$K$4+32)-100)</f>
        <v>149.68999999999997</v>
      </c>
      <c r="AC14">
        <f t="shared" si="0"/>
        <v>628.7539121765999</v>
      </c>
    </row>
    <row r="15" spans="1:30" x14ac:dyDescent="0.3">
      <c r="A15" s="40"/>
      <c r="B15" s="56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6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41.54</v>
      </c>
      <c r="X15">
        <f>MIN($C$4 + $G$4 + $I$4 + $J$4 + 20 + 4 + 7, 100)</f>
        <v>100</v>
      </c>
      <c r="Y15">
        <f>MIN($C$4 + $G$4 + $I$4 + $J$4 + 20 + 4 + 7 + 10, 100)</f>
        <v>100</v>
      </c>
      <c r="Z15">
        <f>$N$4 + 14 + 5 + 20 + 12 + $M$4*9/100</f>
        <v>62.91</v>
      </c>
      <c r="AA15">
        <f>(X15*(100-$F$4)/100 + Y15*$F$4/100)/100*((1+$I$6/100)*(1+$J$6/100)*1.12*($D$4+$K$4+32)-100)</f>
        <v>179.65280000000001</v>
      </c>
      <c r="AC15">
        <f t="shared" si="0"/>
        <v>644.83129566979198</v>
      </c>
    </row>
    <row r="16" spans="1:30" ht="16.5" customHeight="1" thickBot="1" x14ac:dyDescent="0.35">
      <c r="A16" s="40"/>
      <c r="B16" s="56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예감1</v>
      </c>
      <c r="G16" s="3" t="str">
        <f>IF(OR(AD3=1, AD3=2, AD3=3, AD3=10, AD3=11, AD3=12), "한돌1", IF(OR(AD3=4, AD3=5, AD3=6, AD3=13, AD3=14, AD3=15), "한돌2", "한돌3"))</f>
        <v>한돌2</v>
      </c>
      <c r="H16" s="4"/>
      <c r="I16" s="7"/>
      <c r="J16" s="86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33.04</v>
      </c>
      <c r="X16">
        <f>MIN($C$4 + $G$4 + $I$4 + $J$4 + 20 + 4, 100)</f>
        <v>100</v>
      </c>
      <c r="Y16">
        <f>MIN($C$4 + $G$4 + $I$4 + $J$4 + 20 + 4 + 10, 100)</f>
        <v>100</v>
      </c>
      <c r="Z16">
        <f>$N$4 + 14 + 5 + 20 + 12 + 20 + $M$4*9/100</f>
        <v>82.91</v>
      </c>
      <c r="AA16">
        <f>(X16*(100-$F$4)/100 + Y16*$F$4/100)/100*((1+$I$6/100)*(1+$J$6/100)*1.12*($D$4+$K$4+32)-100)</f>
        <v>179.65280000000001</v>
      </c>
      <c r="AC16">
        <f t="shared" si="0"/>
        <v>680.51681069299207</v>
      </c>
    </row>
    <row r="17" spans="1:29" x14ac:dyDescent="0.3">
      <c r="A17" s="40"/>
      <c r="B17" s="56"/>
      <c r="C17" s="6" t="s">
        <v>18</v>
      </c>
      <c r="D17" s="4"/>
      <c r="E17" s="4"/>
      <c r="F17" s="5" t="s">
        <v>38</v>
      </c>
      <c r="G17" s="4"/>
      <c r="H17" s="4"/>
      <c r="I17" s="7"/>
      <c r="J17" s="86"/>
      <c r="K17" s="47"/>
      <c r="L17" s="76" t="s">
        <v>42</v>
      </c>
      <c r="M17" s="77"/>
      <c r="N17" s="77"/>
      <c r="O17" s="78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41.54</v>
      </c>
      <c r="X17">
        <f>MIN($C$4 + $G$4 + $I$4 + $J$4 + 20 + 4 + 7, 100)</f>
        <v>100</v>
      </c>
      <c r="Y17">
        <f>MIN($C$4 + $G$4 + $I$4 + $J$4 + 20 + 4 + 7 + 10, 100)</f>
        <v>100</v>
      </c>
      <c r="Z17">
        <f>$N$4 + 14 + 5 + 20 + 12 + 20 + $M$4*9/100</f>
        <v>82.91</v>
      </c>
      <c r="AA17">
        <f>(X17*(100-$F$4)/100 + Y17*$F$4/100)/100*((1+$I$6/100)*(1+$J$6/100)*($D$4+$K$4+32)-100)</f>
        <v>149.68999999999997</v>
      </c>
      <c r="AC17">
        <f t="shared" si="0"/>
        <v>646.42447347659981</v>
      </c>
    </row>
    <row r="18" spans="1:29" x14ac:dyDescent="0.3">
      <c r="A18" s="40"/>
      <c r="B18" s="56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X</v>
      </c>
      <c r="G18" s="4"/>
      <c r="H18" s="4"/>
      <c r="I18" s="7"/>
      <c r="J18" s="86"/>
      <c r="K18" s="47"/>
      <c r="L18" s="79"/>
      <c r="M18" s="80"/>
      <c r="N18" s="80"/>
      <c r="O18" s="81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41.54</v>
      </c>
      <c r="X18">
        <f>MIN($C$4 + $G$4 + $I$4 + $J$4 + 20 + 7, 100)</f>
        <v>100</v>
      </c>
      <c r="Y18">
        <f>MIN($C$4 + $G$4 + $I$4 + $J$4 + 20 + 7 + 10, 100)</f>
        <v>100</v>
      </c>
      <c r="Z18">
        <f>$N$4 + 14 + 30 + 12 + $M$4*9/100</f>
        <v>67.91</v>
      </c>
      <c r="AA18">
        <f>(X18*(100-$F$4)/100 + Y18*$F$4/100)/100*((1+$I$6/100)*(1+$J$6/100)*1.12*($D$4+$K$4+32)-100)</f>
        <v>179.65280000000001</v>
      </c>
      <c r="AC18">
        <f t="shared" si="0"/>
        <v>664.62232432579208</v>
      </c>
    </row>
    <row r="19" spans="1:29" ht="17.25" thickBot="1" x14ac:dyDescent="0.35">
      <c r="A19" s="40"/>
      <c r="B19" s="56"/>
      <c r="C19" s="8" t="s">
        <v>20</v>
      </c>
      <c r="D19" s="9" t="str">
        <f>IF(AD3&lt;10, "뭉가2", "X")</f>
        <v>뭉가2</v>
      </c>
      <c r="E19" s="10"/>
      <c r="F19" s="10"/>
      <c r="G19" s="9" t="str">
        <f>IF(AD3&lt;10, "X", "입타2")</f>
        <v>X</v>
      </c>
      <c r="H19" s="10"/>
      <c r="I19" s="11"/>
      <c r="J19" s="86"/>
      <c r="K19" s="47"/>
      <c r="L19" s="79"/>
      <c r="M19" s="80"/>
      <c r="N19" s="80"/>
      <c r="O19" s="81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33.04</v>
      </c>
      <c r="X19">
        <f>MIN($C$4 + $G$4 + $I$4 + $J$4 + 20, 100)</f>
        <v>98.449999999999989</v>
      </c>
      <c r="Y19">
        <f>MIN($C$4 + $G$4 + $I$4 + $J$4 + 20 + 10, 100)</f>
        <v>100</v>
      </c>
      <c r="Z19">
        <f>$N$4 + 14 + 30 + 12 + 20 + $M$4*9/100</f>
        <v>87.91</v>
      </c>
      <c r="AA19">
        <f>(X19*(100-$F$4)/100 + Y19*$F$4/100)/100*((1+$I$6/100)*(1+$J$6/100)*1.12*($D$4+$K$4+32)-100)</f>
        <v>179.09587632</v>
      </c>
      <c r="AC19">
        <f t="shared" si="0"/>
        <v>697.72703101105014</v>
      </c>
    </row>
    <row r="20" spans="1:29" x14ac:dyDescent="0.3">
      <c r="A20" s="40"/>
      <c r="B20" s="57"/>
      <c r="C20" s="57"/>
      <c r="D20" s="57"/>
      <c r="E20" s="57"/>
      <c r="F20" s="57"/>
      <c r="G20" s="57"/>
      <c r="H20" s="57"/>
      <c r="I20" s="57"/>
      <c r="J20" s="57"/>
      <c r="K20" s="47"/>
      <c r="L20" s="79"/>
      <c r="M20" s="80"/>
      <c r="N20" s="80"/>
      <c r="O20" s="81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41.54</v>
      </c>
      <c r="X20">
        <f>MIN($C$4 + $G$4 + $I$4 + $J$4 + 20 + 7, 100)</f>
        <v>100</v>
      </c>
      <c r="Y20">
        <f>MIN($C$4 + $G$4 + $I$4 + $J$4 + 20 + 7 + 10, 100)</f>
        <v>100</v>
      </c>
      <c r="Z20">
        <f>$N$4 + 14 + 30 + 12 + 20 + $M$4*9/100</f>
        <v>87.91</v>
      </c>
      <c r="AA20">
        <f>(X20*(100-$F$4)/100 + Y20*$F$4/100)/100*((1+$I$6/100)*(1+$J$6/100)*($D$4+$K$4+32)-100)</f>
        <v>149.68999999999997</v>
      </c>
      <c r="AC20">
        <f t="shared" si="0"/>
        <v>664.09503477659985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9"/>
      <c r="M21" s="80"/>
      <c r="N21" s="80"/>
      <c r="O21" s="81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9"/>
      <c r="M22" s="80"/>
      <c r="N22" s="80"/>
      <c r="O22" s="81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9"/>
      <c r="M23" s="80"/>
      <c r="N23" s="80"/>
      <c r="O23" s="81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60" t="str">
        <f>IF(AD3&lt;10, "그런데 뭉가 끼면", "원래 입타에요")</f>
        <v>그런데 뭉가 끼면</v>
      </c>
      <c r="J24" s="60"/>
      <c r="K24" s="47"/>
      <c r="L24" s="79"/>
      <c r="M24" s="80"/>
      <c r="N24" s="80"/>
      <c r="O24" s="81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60" t="s">
        <v>41</v>
      </c>
      <c r="F25" s="60"/>
      <c r="G25" s="60"/>
      <c r="H25" s="47"/>
      <c r="I25" s="46">
        <f>IF(AD3&lt;10, (MAX(AC3:AC20)/MAX(AC12:AC20)-1)*100, "")</f>
        <v>5.3962297165467632</v>
      </c>
      <c r="J25" s="45" t="str">
        <f>IF(AD3&lt;10, "% 더세요", "")</f>
        <v>% 더세요</v>
      </c>
      <c r="K25" s="47"/>
      <c r="L25" s="82"/>
      <c r="M25" s="83"/>
      <c r="N25" s="83"/>
      <c r="O25" s="84"/>
      <c r="P25" s="50"/>
      <c r="Q25" s="51"/>
      <c r="R25" s="52"/>
    </row>
    <row r="26" spans="1:29" ht="17.25" thickBot="1" x14ac:dyDescent="0.35">
      <c r="A26" s="40"/>
      <c r="B26" s="60"/>
      <c r="C26" s="60"/>
      <c r="D26" s="60"/>
      <c r="E26" s="60"/>
      <c r="F26" s="60"/>
      <c r="G26" s="60"/>
      <c r="H26" s="60"/>
      <c r="I26" s="60"/>
      <c r="J26" s="60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5"/>
      <c r="C27" s="31" t="s">
        <v>15</v>
      </c>
      <c r="D27" s="32"/>
      <c r="E27" s="32"/>
      <c r="F27" s="32"/>
      <c r="G27" s="32"/>
      <c r="H27" s="32"/>
      <c r="I27" s="33"/>
      <c r="J27" s="74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5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4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5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X</v>
      </c>
      <c r="G29" s="3" t="str">
        <f>IF(OR(AD12=1, AD12=2, AD12=3, AD12=10, AD12=11, AD12=12), "한돌1", IF(OR(AD12=4, AD12=5, AD12=6, AD12=13, AD12=14, AD12=15), "한돌2", "한돌3"))</f>
        <v>한돌3</v>
      </c>
      <c r="H29" s="4"/>
      <c r="I29" s="7"/>
      <c r="J29" s="74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5"/>
      <c r="C30" s="6" t="s">
        <v>18</v>
      </c>
      <c r="D30" s="4"/>
      <c r="E30" s="4"/>
      <c r="F30" s="5" t="s">
        <v>38</v>
      </c>
      <c r="G30" s="4"/>
      <c r="H30" s="4"/>
      <c r="I30" s="7"/>
      <c r="J30" s="74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5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4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5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4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60"/>
      <c r="C33" s="60"/>
      <c r="D33" s="60"/>
      <c r="E33" s="60"/>
      <c r="F33" s="60"/>
      <c r="G33" s="60"/>
      <c r="H33" s="60"/>
      <c r="I33" s="60"/>
      <c r="J33" s="60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  <mergeCell ref="B26:J26"/>
    <mergeCell ref="B27:B32"/>
    <mergeCell ref="J27:J32"/>
    <mergeCell ref="B33:J33"/>
    <mergeCell ref="B13:J13"/>
    <mergeCell ref="B14:B19"/>
    <mergeCell ref="C14:I14"/>
    <mergeCell ref="J14:J1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75CF-6AE4-4C2C-8C38-ACAC26A0BA39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54" t="s">
        <v>57</v>
      </c>
      <c r="D1" s="54" t="s">
        <v>56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3" t="s">
        <v>10</v>
      </c>
      <c r="C2" s="64"/>
      <c r="D2" s="65"/>
      <c r="E2" s="34"/>
      <c r="F2" s="66" t="s">
        <v>9</v>
      </c>
      <c r="G2" s="67"/>
      <c r="H2" s="34"/>
      <c r="I2" s="68" t="s">
        <v>8</v>
      </c>
      <c r="J2" s="69"/>
      <c r="K2" s="70"/>
      <c r="L2" s="34"/>
      <c r="M2" s="58" t="s">
        <v>11</v>
      </c>
      <c r="N2" s="59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41.67</v>
      </c>
      <c r="X3">
        <f>MIN($C$4 + $G$4 + $I$4 + $J$4 + 20 + 8 + 7, 120)</f>
        <v>104.88</v>
      </c>
      <c r="Y3">
        <f>MIN($C$4 + $G$4 + $I$4 + $J$4 + 20 + 8 + 7 + 10, 120)</f>
        <v>114.88</v>
      </c>
      <c r="Z3">
        <f>IF(X3&gt;80, (X3-80)*1.5*(100-$F$4)/100, 0) + IF(Y3&gt;80, (Y3-80)*1.5*$F$4/100, 0) + $N$4 + 14 + 10 + 10 + 15</f>
        <v>102.07</v>
      </c>
      <c r="AA3">
        <f>(IF(X3&gt;80, 80*(100-$F$4)/100, X3*(100-$F$4)/100) + IF(Y3&gt;80, 80*$F$4/100, Y3*$F$4/100))/100*((1+$I$6/100)*(1+$J$6/100)*1.12*($D$4+$K$4+32)-100)</f>
        <v>145.54112000000001</v>
      </c>
      <c r="AC3">
        <f t="shared" ref="AC3:AC20" si="0">(100+W3)/100*(100+Z3)/100*(100+AA3)</f>
        <v>702.91687217537287</v>
      </c>
      <c r="AD3">
        <f>MATCH(MAX(AC3:AC20), AC3:AC20, 0)</f>
        <v>1</v>
      </c>
    </row>
    <row r="4" spans="1:30" ht="17.25" thickBot="1" x14ac:dyDescent="0.35">
      <c r="A4" s="34"/>
      <c r="B4" s="28">
        <v>33.17</v>
      </c>
      <c r="C4" s="29">
        <v>51.38</v>
      </c>
      <c r="D4" s="30">
        <v>216</v>
      </c>
      <c r="E4" s="36"/>
      <c r="F4" s="14">
        <v>85</v>
      </c>
      <c r="G4" s="15">
        <v>18.5</v>
      </c>
      <c r="H4" s="36"/>
      <c r="I4" s="18">
        <v>0</v>
      </c>
      <c r="J4" s="24">
        <v>0</v>
      </c>
      <c r="K4" s="19">
        <v>0</v>
      </c>
      <c r="L4" s="34"/>
      <c r="M4" s="22">
        <v>99</v>
      </c>
      <c r="N4" s="23">
        <v>3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33.17</v>
      </c>
      <c r="X4">
        <f>MIN($C$4 + $G$4 + $I$4 + $J$4 + 20 + 8, 120)</f>
        <v>97.88</v>
      </c>
      <c r="Y4">
        <f>MIN($C$4 + $G$4 + $I$4 + $J$4 + 20 + 8 + 10, 120)</f>
        <v>107.88</v>
      </c>
      <c r="Z4">
        <f>IF(X4&gt;80, (X4-80)*1.5*(100-$F$4)/100, 0) + IF(Y4&gt;80, (Y4-80)*1.5*$F$4/100, 0) + $N$4 + 14 + 10 + 10 + 15 + 20</f>
        <v>111.57</v>
      </c>
      <c r="AA4">
        <f>(IF(X4&gt;80, 80*(100-$F$4)/100, X4*(100-$F$4)/100) + IF(Y4&gt;80, 80*$F$4/100, Y4*$F$4/100))/100*((1+$I$6/100)*(1+$J$6/100)*1.12*($D$4+$K$4+32)-100)</f>
        <v>145.54112000000001</v>
      </c>
      <c r="AC4">
        <f t="shared" si="0"/>
        <v>691.80662757761286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55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41.67</v>
      </c>
      <c r="X5">
        <f>MIN($C$4 + $G$4 + $I$4 + $J$4 + 20 + 8 + 7, 120)</f>
        <v>104.88</v>
      </c>
      <c r="Y5">
        <f>MIN($C$4 + $G$4 + $I$4 + $J$4 + 20 + 8 + 7 + 10, 120)</f>
        <v>114.88</v>
      </c>
      <c r="Z5">
        <f>IF(X5&gt;80, (X5-80)*1.5*(100-$F$4)/100, 0) + IF(Y5&gt;80, (Y5-80)*1.5*$F$4/100, 0) + $N$4 + 14 + 10 + 10 + 15 + 20</f>
        <v>122.07</v>
      </c>
      <c r="AA5">
        <f>(IF(X5&gt;80, 80*(100-$F$4)/100, X5*(100-$F$4)/100) + IF(Y5&gt;80, 80*$F$4/100, Y5*$F$4/100))/100*((1+$I$6/100)*(1+$J$6/100)*($D$4+$K$4+32)-100)</f>
        <v>121.37599999999998</v>
      </c>
      <c r="AC5">
        <f t="shared" si="0"/>
        <v>696.4634381894399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41.67</v>
      </c>
      <c r="X6">
        <f>MIN($C$4 + $G$4 + $I$4 + $J$4 + 20 + 4 + 7, 120)</f>
        <v>100.88</v>
      </c>
      <c r="Y6">
        <f>MIN($C$4 + $G$4 + $I$4 + $J$4 + 20 + 4 + 7 + 10, 120)</f>
        <v>110.88</v>
      </c>
      <c r="Z6">
        <f>IF(X6&gt;80, (X6-80)*1.5*(100-$F$4)/100, 0) + IF(Y6&gt;80, (Y6-80)*1.5*$F$4/100, 0) + $N$4 + 14 + 5 + 20 + 15</f>
        <v>101.07</v>
      </c>
      <c r="AA6">
        <f>(IF(X6&gt;80, 80*(100-$F$4)/100, X6*(100-$F$4)/100) + IF(Y6&gt;80, 80*$F$4/100, Y6*$F$4/100))/100*((1+$I$6/100)*(1+$J$6/100)*1.12*($D$4+$K$4+32)-100)</f>
        <v>145.54112000000001</v>
      </c>
      <c r="AC6">
        <f t="shared" si="0"/>
        <v>699.43829112833282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5" t="s">
        <v>63</v>
      </c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33.17</v>
      </c>
      <c r="X7">
        <f>MIN($C$4 + $G$4 + $I$4 + $J$4 + 20 + 4, 120)</f>
        <v>93.88</v>
      </c>
      <c r="Y7">
        <f>MIN($C$4 + $G$4 + $I$4 + $J$4 + 20 + 4 + 10, 120)</f>
        <v>103.88</v>
      </c>
      <c r="Z7">
        <f>IF(X7&gt;80, (X7-80)*1.5*(100-$F$4)/100, 0) + IF(Y7&gt;80, (Y7-80)*1.5*$F$4/100, 0) + $N$4 + 14 + 5 + 20 + 15 + 20</f>
        <v>110.57</v>
      </c>
      <c r="AA7">
        <f>(IF(X7&gt;80, 80*(100-$F$4)/100, X7*(100-$F$4)/100) + IF(Y7&gt;80, 80*$F$4/100, Y7*$F$4/100))/100*((1+$I$6/100)*(1+$J$6/100)*1.12*($D$4+$K$4+32)-100)</f>
        <v>145.54112000000001</v>
      </c>
      <c r="AC7">
        <f t="shared" si="0"/>
        <v>688.53675648257274</v>
      </c>
    </row>
    <row r="8" spans="1:30" ht="17.25" customHeight="1" thickTop="1" x14ac:dyDescent="0.3">
      <c r="A8" s="40"/>
      <c r="B8" s="47"/>
      <c r="C8" s="47"/>
      <c r="D8" s="38"/>
      <c r="E8" s="61" t="s">
        <v>43</v>
      </c>
      <c r="F8" s="61"/>
      <c r="G8" s="61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41.67</v>
      </c>
      <c r="X8">
        <f>MIN($C$4 + $G$4 + $I$4 + $J$4 + 20 + 4 + 7, 120)</f>
        <v>100.88</v>
      </c>
      <c r="Y8">
        <f>MIN($C$4 + $G$4 + $I$4 + $J$4 + 20 + 4 + 7 + 10, 120)</f>
        <v>110.88</v>
      </c>
      <c r="Z8">
        <f>IF(X8&gt;80, (X8-80)*1.5*(100-$F$4)/100, 0) + IF(Y8&gt;80, (Y8-80)*1.5*$F$4/100, 0) + $N$4 + 14 + 5 + 20 + 15 + 20</f>
        <v>121.07</v>
      </c>
      <c r="AA8">
        <f>(IF(X8&gt;80, 80*(100-$F$4)/100, X8*(100-$F$4)/100) + IF(Y8&gt;80, 80*$F$4/100, Y8*$F$4/100))/100*((1+$I$6/100)*(1+$J$6/100)*($D$4+$K$4+32)-100)</f>
        <v>121.37599999999998</v>
      </c>
      <c r="AC8">
        <f t="shared" si="0"/>
        <v>693.32720439743991</v>
      </c>
    </row>
    <row r="9" spans="1:30" x14ac:dyDescent="0.3">
      <c r="A9" s="40"/>
      <c r="B9" s="47"/>
      <c r="C9" s="47"/>
      <c r="D9" s="47"/>
      <c r="E9" s="62"/>
      <c r="F9" s="62"/>
      <c r="G9" s="62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41.67</v>
      </c>
      <c r="X9">
        <f>MIN($C$4 + $G$4 + $I$4 + $J$4 + 20 + 7, 120)</f>
        <v>96.88</v>
      </c>
      <c r="Y9">
        <f>MIN($C$4 + $G$4 + $I$4 + $J$4 + 20 + 7 + 10, 120)</f>
        <v>106.88</v>
      </c>
      <c r="Z9">
        <f>IF(X9&gt;80, (X9-80)*1.5*(100-$F$4)/100, 0) + IF(Y9&gt;80, (Y9-80)*1.5*$F$4/100, 0) + $N$4 + 14 + 30 + 15</f>
        <v>100.07</v>
      </c>
      <c r="AA9">
        <f>(IF(X9&gt;80, 80*(100-$F$4)/100, X9*(100-$F$4)/100) + IF(Y9&gt;80, 80*$F$4/100, Y9*$F$4/100))/100*((1+$I$6/100)*(1+$J$6/100)*1.12*($D$4+$K$4+32)-100)</f>
        <v>145.54112000000001</v>
      </c>
      <c r="AC9">
        <f t="shared" si="0"/>
        <v>695.95971008129277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33.17</v>
      </c>
      <c r="X10">
        <f>MIN($C$4 + $G$4 + $I$4 + $J$4 + 20, 120)</f>
        <v>89.88</v>
      </c>
      <c r="Y10">
        <f>MIN($C$4 + $G$4 + $I$4 + $J$4 + 20 + 10, 120)</f>
        <v>99.88</v>
      </c>
      <c r="Z10">
        <f>IF(X10&gt;80, (X10-80)*1.5*(100-$F$4)/100, 0) + IF(Y10&gt;80, (Y10-80)*1.5*$F$4/100, 0) + $N$4 + 14 + 30 + 15 + 20</f>
        <v>109.57</v>
      </c>
      <c r="AA10">
        <f>(IF(X10&gt;80, 80*(100-$F$4)/100, X10*(100-$F$4)/100) + IF(Y10&gt;80, 80*$F$4/100, Y10*$F$4/100))/100*((1+$I$6/100)*(1+$J$6/100)*1.12*($D$4+$K$4+32)-100)</f>
        <v>145.54112000000001</v>
      </c>
      <c r="AC10">
        <f t="shared" si="0"/>
        <v>685.26688538753297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41.67</v>
      </c>
      <c r="X11">
        <f>MIN($C$4 + $G$4 + $I$4 + $J$4 + 20 + 7, 120)</f>
        <v>96.88</v>
      </c>
      <c r="Y11">
        <f>MIN($C$4 + $G$4 + $I$4 + $J$4 + 20 + 7 + 10, 120)</f>
        <v>106.88</v>
      </c>
      <c r="Z11">
        <f>IF(X11&gt;80, (X11-80)*1.5*(100-$F$4)/100, 0) + IF(Y11&gt;80, (Y11-80)*1.5*$F$4/100, 0) + $N$4 + 14 + 30 + 15 + 20</f>
        <v>120.07</v>
      </c>
      <c r="AA11">
        <f>(IF(X11&gt;80, 80*(100-$F$4)/100, X11*(100-$F$4)/100) + IF(Y11&gt;80, 80*$F$4/100, Y11*$F$4/100))/100*((1+$I$6/100)*(1+$J$6/100)*($D$4+$K$4+32)-100)</f>
        <v>121.37599999999998</v>
      </c>
      <c r="AC11">
        <f t="shared" si="0"/>
        <v>690.19097060543993</v>
      </c>
      <c r="AD11" t="s">
        <v>39</v>
      </c>
    </row>
    <row r="12" spans="1:30" x14ac:dyDescent="0.3">
      <c r="A12" s="40"/>
      <c r="B12" s="47"/>
      <c r="C12" s="47"/>
      <c r="D12" s="48"/>
      <c r="E12" s="85" t="s">
        <v>44</v>
      </c>
      <c r="F12" s="85"/>
      <c r="G12" s="85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41.67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57.91</v>
      </c>
      <c r="AA12">
        <f>(X12*(100-$F$4)/100 + Y12*$F$4/100)/100*((1+$I$6/100)*(1+$J$6/100)*1.12*($D$4+$K$4+32)-100)</f>
        <v>181.9264</v>
      </c>
      <c r="AC12">
        <f t="shared" si="0"/>
        <v>630.7006421726079</v>
      </c>
      <c r="AD12">
        <f>MATCH(MAX(AC12:AC20), AC3:AC20, 0)</f>
        <v>17</v>
      </c>
    </row>
    <row r="13" spans="1:30" ht="17.25" thickBot="1" x14ac:dyDescent="0.35">
      <c r="A13" s="40"/>
      <c r="B13" s="57"/>
      <c r="C13" s="57"/>
      <c r="D13" s="57"/>
      <c r="E13" s="57"/>
      <c r="F13" s="57"/>
      <c r="G13" s="57"/>
      <c r="H13" s="57"/>
      <c r="I13" s="57"/>
      <c r="J13" s="57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33.17</v>
      </c>
      <c r="X13">
        <f>MIN($C$4 + $G$4 + $I$4 + $J$4 + 20 + 8, 100)</f>
        <v>97.88</v>
      </c>
      <c r="Y13">
        <f>MIN($C$4 + $G$4 + $I$4 + $J$4 + 20 + 8 + 10, 100)</f>
        <v>100</v>
      </c>
      <c r="Z13">
        <f>$N$4 + 14 + 10 + 10 + 12 + 20 + $M$4*9/100</f>
        <v>77.91</v>
      </c>
      <c r="AA13">
        <f>(X13*(100-$F$4)/100 + Y13*$F$4/100)/100*((1+$I$6/100)*(1+$J$6/100)*1.12*($D$4+$K$4+32)-100)</f>
        <v>181.34787404799999</v>
      </c>
      <c r="AC13">
        <f t="shared" si="0"/>
        <v>666.57711182062178</v>
      </c>
    </row>
    <row r="14" spans="1:30" x14ac:dyDescent="0.3">
      <c r="A14" s="40"/>
      <c r="B14" s="56"/>
      <c r="C14" s="71" t="s">
        <v>15</v>
      </c>
      <c r="D14" s="72"/>
      <c r="E14" s="72"/>
      <c r="F14" s="72"/>
      <c r="G14" s="72"/>
      <c r="H14" s="72"/>
      <c r="I14" s="73"/>
      <c r="J14" s="86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41.67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77.91</v>
      </c>
      <c r="AA14">
        <f>(X14*(100-$F$4)/100 + Y14*$F$4/100)/100*((1+$I$6/100)*(1+$J$6/100)*($D$4+$K$4+32)-100)</f>
        <v>151.71999999999997</v>
      </c>
      <c r="AC14">
        <f t="shared" si="0"/>
        <v>634.44791816839995</v>
      </c>
    </row>
    <row r="15" spans="1:30" x14ac:dyDescent="0.3">
      <c r="A15" s="40"/>
      <c r="B15" s="56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6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41.67</v>
      </c>
      <c r="X15">
        <f>MIN($C$4 + $G$4 + $I$4 + $J$4 + 20 + 4 + 7, 100)</f>
        <v>100</v>
      </c>
      <c r="Y15">
        <f>MIN($C$4 + $G$4 + $I$4 + $J$4 + 20 + 4 + 7 + 10, 100)</f>
        <v>100</v>
      </c>
      <c r="Z15">
        <f>$N$4 + 14 + 5 + 20 + 12 + $M$4*9/100</f>
        <v>62.91</v>
      </c>
      <c r="AA15">
        <f>(X15*(100-$F$4)/100 + Y15*$F$4/100)/100*((1+$I$6/100)*(1+$J$6/100)*1.12*($D$4+$K$4+32)-100)</f>
        <v>181.9264</v>
      </c>
      <c r="AC15">
        <f t="shared" si="0"/>
        <v>650.67089871660801</v>
      </c>
    </row>
    <row r="16" spans="1:30" ht="16.5" customHeight="1" thickBot="1" x14ac:dyDescent="0.35">
      <c r="A16" s="40"/>
      <c r="B16" s="56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6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33.17</v>
      </c>
      <c r="X16">
        <f>MIN($C$4 + $G$4 + $I$4 + $J$4 + 20 + 4, 100)</f>
        <v>93.88</v>
      </c>
      <c r="Y16">
        <f>MIN($C$4 + $G$4 + $I$4 + $J$4 + 20 + 4 + 10, 100)</f>
        <v>100</v>
      </c>
      <c r="Z16">
        <f>$N$4 + 14 + 5 + 20 + 12 + 20 + $M$4*9/100</f>
        <v>82.91</v>
      </c>
      <c r="AA16">
        <f>(X16*(100-$F$4)/100 + Y16*$F$4/100)/100*((1+$I$6/100)*(1+$J$6/100)*1.12*($D$4+$K$4+32)-100)</f>
        <v>180.256315648</v>
      </c>
      <c r="AC16">
        <f t="shared" si="0"/>
        <v>682.65182845165452</v>
      </c>
    </row>
    <row r="17" spans="1:29" x14ac:dyDescent="0.3">
      <c r="A17" s="40"/>
      <c r="B17" s="56"/>
      <c r="C17" s="6" t="s">
        <v>18</v>
      </c>
      <c r="D17" s="4"/>
      <c r="E17" s="4"/>
      <c r="F17" s="5" t="s">
        <v>38</v>
      </c>
      <c r="G17" s="4"/>
      <c r="H17" s="4"/>
      <c r="I17" s="7"/>
      <c r="J17" s="86"/>
      <c r="K17" s="47"/>
      <c r="L17" s="76" t="s">
        <v>42</v>
      </c>
      <c r="M17" s="77"/>
      <c r="N17" s="77"/>
      <c r="O17" s="78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41.67</v>
      </c>
      <c r="X17">
        <f>MIN($C$4 + $G$4 + $I$4 + $J$4 + 20 + 4 + 7, 100)</f>
        <v>100</v>
      </c>
      <c r="Y17">
        <f>MIN($C$4 + $G$4 + $I$4 + $J$4 + 20 + 4 + 7 + 10, 100)</f>
        <v>100</v>
      </c>
      <c r="Z17">
        <f>$N$4 + 14 + 5 + 20 + 12 + 20 + $M$4*9/100</f>
        <v>82.91</v>
      </c>
      <c r="AA17">
        <f>(X17*(100-$F$4)/100 + Y17*$F$4/100)/100*((1+$I$6/100)*(1+$J$6/100)*($D$4+$K$4+32)-100)</f>
        <v>151.71999999999997</v>
      </c>
      <c r="AC17">
        <f t="shared" si="0"/>
        <v>652.27850436839992</v>
      </c>
    </row>
    <row r="18" spans="1:29" x14ac:dyDescent="0.3">
      <c r="A18" s="40"/>
      <c r="B18" s="56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X</v>
      </c>
      <c r="G18" s="4"/>
      <c r="H18" s="4"/>
      <c r="I18" s="7"/>
      <c r="J18" s="86"/>
      <c r="K18" s="47"/>
      <c r="L18" s="79"/>
      <c r="M18" s="80"/>
      <c r="N18" s="80"/>
      <c r="O18" s="81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41.67</v>
      </c>
      <c r="X18">
        <f>MIN($C$4 + $G$4 + $I$4 + $J$4 + 20 + 7, 100)</f>
        <v>96.88</v>
      </c>
      <c r="Y18">
        <f>MIN($C$4 + $G$4 + $I$4 + $J$4 + 20 + 7 + 10, 100)</f>
        <v>100</v>
      </c>
      <c r="Z18">
        <f>$N$4 + 14 + 30 + 12 + $M$4*9/100</f>
        <v>67.91</v>
      </c>
      <c r="AA18">
        <f>(X18*(100-$F$4)/100 + Y18*$F$4/100)/100*((1+$I$6/100)*(1+$J$6/100)*1.12*($D$4+$K$4+32)-100)</f>
        <v>181.07498444800001</v>
      </c>
      <c r="AC18">
        <f t="shared" si="0"/>
        <v>668.61582414794827</v>
      </c>
    </row>
    <row r="19" spans="1:29" ht="17.25" thickBot="1" x14ac:dyDescent="0.35">
      <c r="A19" s="40"/>
      <c r="B19" s="56"/>
      <c r="C19" s="8" t="s">
        <v>20</v>
      </c>
      <c r="D19" s="9" t="str">
        <f>IF(AD3&lt;10, "뭉가2", "X")</f>
        <v>뭉가2</v>
      </c>
      <c r="E19" s="10"/>
      <c r="F19" s="10"/>
      <c r="G19" s="9" t="str">
        <f>IF(AD3&lt;10, "X", "입타2")</f>
        <v>X</v>
      </c>
      <c r="H19" s="10"/>
      <c r="I19" s="11"/>
      <c r="J19" s="86"/>
      <c r="K19" s="47"/>
      <c r="L19" s="79"/>
      <c r="M19" s="80"/>
      <c r="N19" s="80"/>
      <c r="O19" s="81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33.17</v>
      </c>
      <c r="X19">
        <f>MIN($C$4 + $G$4 + $I$4 + $J$4 + 20, 100)</f>
        <v>89.88</v>
      </c>
      <c r="Y19">
        <f>MIN($C$4 + $G$4 + $I$4 + $J$4 + 20 + 10, 100)</f>
        <v>99.88</v>
      </c>
      <c r="Z19">
        <f>$N$4 + 14 + 30 + 12 + 20 + $M$4*9/100</f>
        <v>87.91</v>
      </c>
      <c r="AA19">
        <f>(X19*(100-$F$4)/100 + Y19*$F$4/100)/100*((1+$I$6/100)*(1+$J$6/100)*1.12*($D$4+$K$4+32)-100)</f>
        <v>178.97919232000001</v>
      </c>
      <c r="AC19">
        <f t="shared" si="0"/>
        <v>698.11682504421151</v>
      </c>
    </row>
    <row r="20" spans="1:29" x14ac:dyDescent="0.3">
      <c r="A20" s="40"/>
      <c r="B20" s="57"/>
      <c r="C20" s="57"/>
      <c r="D20" s="57"/>
      <c r="E20" s="57"/>
      <c r="F20" s="57"/>
      <c r="G20" s="57"/>
      <c r="H20" s="57"/>
      <c r="I20" s="57"/>
      <c r="J20" s="57"/>
      <c r="K20" s="47"/>
      <c r="L20" s="79"/>
      <c r="M20" s="80"/>
      <c r="N20" s="80"/>
      <c r="O20" s="81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41.67</v>
      </c>
      <c r="X20">
        <f>MIN($C$4 + $G$4 + $I$4 + $J$4 + 20 + 7, 100)</f>
        <v>96.88</v>
      </c>
      <c r="Y20">
        <f>MIN($C$4 + $G$4 + $I$4 + $J$4 + 20 + 7 + 10, 100)</f>
        <v>100</v>
      </c>
      <c r="Z20">
        <f>$N$4 + 14 + 30 + 12 + 20 + $M$4*9/100</f>
        <v>87.91</v>
      </c>
      <c r="AA20">
        <f>(X20*(100-$F$4)/100 + Y20*$F$4/100)/100*((1+$I$6/100)*(1+$J$6/100)*($D$4+$K$4+32)-100)</f>
        <v>151.00995039999998</v>
      </c>
      <c r="AC20">
        <f t="shared" si="0"/>
        <v>668.21885263849992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9"/>
      <c r="M21" s="80"/>
      <c r="N21" s="80"/>
      <c r="O21" s="81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9"/>
      <c r="M22" s="80"/>
      <c r="N22" s="80"/>
      <c r="O22" s="81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9"/>
      <c r="M23" s="80"/>
      <c r="N23" s="80"/>
      <c r="O23" s="81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60" t="str">
        <f>IF(AD3&lt;10, "그런데 뭉가 끼면", "원래 입타에요")</f>
        <v>그런데 뭉가 끼면</v>
      </c>
      <c r="J24" s="60"/>
      <c r="K24" s="47"/>
      <c r="L24" s="79"/>
      <c r="M24" s="80"/>
      <c r="N24" s="80"/>
      <c r="O24" s="81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60" t="s">
        <v>41</v>
      </c>
      <c r="F25" s="60"/>
      <c r="G25" s="60"/>
      <c r="H25" s="47"/>
      <c r="I25" s="46">
        <f>IF(AD3&lt;10, (MAX(AC3:AC20)/MAX(AC12:AC20)-1)*100, "")</f>
        <v>0.68757075592003059</v>
      </c>
      <c r="J25" s="45" t="str">
        <f>IF(AD3&lt;10, "% 더세요", "")</f>
        <v>% 더세요</v>
      </c>
      <c r="K25" s="47"/>
      <c r="L25" s="82"/>
      <c r="M25" s="83"/>
      <c r="N25" s="83"/>
      <c r="O25" s="84"/>
      <c r="P25" s="50"/>
      <c r="Q25" s="51"/>
      <c r="R25" s="52"/>
    </row>
    <row r="26" spans="1:29" ht="17.25" thickBot="1" x14ac:dyDescent="0.35">
      <c r="A26" s="40"/>
      <c r="B26" s="60"/>
      <c r="C26" s="60"/>
      <c r="D26" s="60"/>
      <c r="E26" s="60"/>
      <c r="F26" s="60"/>
      <c r="G26" s="60"/>
      <c r="H26" s="60"/>
      <c r="I26" s="60"/>
      <c r="J26" s="60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5"/>
      <c r="C27" s="31" t="s">
        <v>15</v>
      </c>
      <c r="D27" s="32"/>
      <c r="E27" s="32"/>
      <c r="F27" s="32"/>
      <c r="G27" s="32"/>
      <c r="H27" s="32"/>
      <c r="I27" s="33"/>
      <c r="J27" s="74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5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4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5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X</v>
      </c>
      <c r="G29" s="3" t="str">
        <f>IF(OR(AD12=1, AD12=2, AD12=3, AD12=10, AD12=11, AD12=12), "한돌1", IF(OR(AD12=4, AD12=5, AD12=6, AD12=13, AD12=14, AD12=15), "한돌2", "한돌3"))</f>
        <v>한돌3</v>
      </c>
      <c r="H29" s="4"/>
      <c r="I29" s="7"/>
      <c r="J29" s="74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5"/>
      <c r="C30" s="6" t="s">
        <v>18</v>
      </c>
      <c r="D30" s="4"/>
      <c r="E30" s="4"/>
      <c r="F30" s="5" t="s">
        <v>38</v>
      </c>
      <c r="G30" s="4"/>
      <c r="H30" s="4"/>
      <c r="I30" s="7"/>
      <c r="J30" s="74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5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4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5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4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60"/>
      <c r="C33" s="60"/>
      <c r="D33" s="60"/>
      <c r="E33" s="60"/>
      <c r="F33" s="60"/>
      <c r="G33" s="60"/>
      <c r="H33" s="60"/>
      <c r="I33" s="60"/>
      <c r="J33" s="60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  <mergeCell ref="B26:J26"/>
    <mergeCell ref="B27:B32"/>
    <mergeCell ref="J27:J32"/>
    <mergeCell ref="B33:J33"/>
    <mergeCell ref="B13:J13"/>
    <mergeCell ref="B14:B19"/>
    <mergeCell ref="C14:I14"/>
    <mergeCell ref="J14:J19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0BBE-5A05-47B7-B782-894DF5FB0309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30" x14ac:dyDescent="0.3">
      <c r="A2" s="34"/>
      <c r="B2" s="63" t="s">
        <v>10</v>
      </c>
      <c r="C2" s="64"/>
      <c r="D2" s="65"/>
      <c r="E2" s="34"/>
      <c r="F2" s="66" t="s">
        <v>9</v>
      </c>
      <c r="G2" s="67"/>
      <c r="H2" s="34"/>
      <c r="I2" s="68" t="s">
        <v>8</v>
      </c>
      <c r="J2" s="69"/>
      <c r="K2" s="70"/>
      <c r="L2" s="34"/>
      <c r="M2" s="58" t="s">
        <v>11</v>
      </c>
      <c r="N2" s="59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41.21</v>
      </c>
      <c r="X3">
        <f>MIN($C$4 + $G$4 + $I$4 + $J$4 + 20 + 8 + 7, 120)</f>
        <v>79.5</v>
      </c>
      <c r="Y3">
        <f>MIN($C$4 + $G$4 + $I$4 + $J$4 + 20 + 8 + 7 + 10, 120)</f>
        <v>89.5</v>
      </c>
      <c r="Z3">
        <f>IF(X3&gt;80, (X3-80)*1.5*(100-$F$4)/100, 0) + IF(Y3&gt;80, (Y3-80)*1.5*$F$4/100, 0) + $N$4 + 14 + 10 + 10 + 15</f>
        <v>65.112499999999997</v>
      </c>
      <c r="AA3">
        <f>(IF(X3&gt;80, 80*(100-$F$4)/100, X3*(100-$F$4)/100) + IF(Y3&gt;80, 80*$F$4/100, Y3*$F$4/100))/100*((1+$I$6/100)*(1+$J$6/100)*1.12*($D$4+$K$4+32)-100)</f>
        <v>178.11382159999999</v>
      </c>
      <c r="AC3">
        <f t="shared" ref="AC3:AC20" si="0">(100+W3)/100*(100+Z3)/100*(100+AA3)</f>
        <v>648.43728543766065</v>
      </c>
      <c r="AD3">
        <f>MATCH(MAX(AC3:AC20), AC3:AC20, 0)</f>
        <v>12</v>
      </c>
    </row>
    <row r="4" spans="1:30" ht="17.25" thickBot="1" x14ac:dyDescent="0.35">
      <c r="A4" s="34"/>
      <c r="B4" s="28">
        <v>32.71</v>
      </c>
      <c r="C4" s="29">
        <v>23.9</v>
      </c>
      <c r="D4" s="30">
        <v>252</v>
      </c>
      <c r="E4" s="36"/>
      <c r="F4" s="14">
        <v>85</v>
      </c>
      <c r="G4" s="15">
        <v>18.5</v>
      </c>
      <c r="H4" s="36"/>
      <c r="I4" s="18">
        <v>0</v>
      </c>
      <c r="J4" s="24">
        <v>2.1</v>
      </c>
      <c r="K4" s="19">
        <v>0</v>
      </c>
      <c r="L4" s="34"/>
      <c r="M4" s="22">
        <v>99</v>
      </c>
      <c r="N4" s="23">
        <v>4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32.71</v>
      </c>
      <c r="X4">
        <f>MIN($C$4 + $G$4 + $I$4 + $J$4 + 20 + 8, 120)</f>
        <v>72.5</v>
      </c>
      <c r="Y4">
        <f>MIN($C$4 + $G$4 + $I$4 + $J$4 + 20 + 8 + 10, 120)</f>
        <v>82.5</v>
      </c>
      <c r="Z4">
        <f>IF(X4&gt;80, (X4-80)*1.5*(100-$F$4)/100, 0) + IF(Y4&gt;80, (Y4-80)*1.5*$F$4/100, 0) + $N$4 + 14 + 10 + 10 + 15 + 20</f>
        <v>76.1875</v>
      </c>
      <c r="AA4">
        <f>(IF(X4&gt;80, 80*(100-$F$4)/100, X4*(100-$F$4)/100) + IF(Y4&gt;80, 80*$F$4/100, Y4*$F$4/100))/100*((1+$I$6/100)*(1+$J$6/100)*1.12*($D$4+$K$4+32)-100)</f>
        <v>175.77388399999998</v>
      </c>
      <c r="AC4">
        <f t="shared" si="0"/>
        <v>644.81016936599462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55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41.21</v>
      </c>
      <c r="X5">
        <f>MIN($C$4 + $G$4 + $I$4 + $J$4 + 20 + 8 + 7, 120)</f>
        <v>79.5</v>
      </c>
      <c r="Y5">
        <f>MIN($C$4 + $G$4 + $I$4 + $J$4 + 20 + 8 + 7 + 10, 120)</f>
        <v>89.5</v>
      </c>
      <c r="Z5">
        <f>IF(X5&gt;80, (X5-80)*1.5*(100-$F$4)/100, 0) + IF(Y5&gt;80, (Y5-80)*1.5*$F$4/100, 0) + $N$4 + 14 + 10 + 10 + 15 + 20</f>
        <v>85.112499999999997</v>
      </c>
      <c r="AA5">
        <f>(IF(X5&gt;80, 80*(100-$F$4)/100, X5*(100-$F$4)/100) + IF(Y5&gt;80, 80*$F$4/100, Y5*$F$4/100))/100*((1+$I$6/100)*(1+$J$6/100)*($D$4+$K$4+32)-100)</f>
        <v>150.46680499999999</v>
      </c>
      <c r="AC5">
        <f t="shared" si="0"/>
        <v>654.71361907718313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1.5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41.21</v>
      </c>
      <c r="X6">
        <f>MIN($C$4 + $G$4 + $I$4 + $J$4 + 20 + 4 + 7, 120)</f>
        <v>75.5</v>
      </c>
      <c r="Y6">
        <f>MIN($C$4 + $G$4 + $I$4 + $J$4 + 20 + 4 + 7 + 10, 120)</f>
        <v>85.5</v>
      </c>
      <c r="Z6">
        <f>IF(X6&gt;80, (X6-80)*1.5*(100-$F$4)/100, 0) + IF(Y6&gt;80, (Y6-80)*1.5*$F$4/100, 0) + $N$4 + 14 + 5 + 20 + 15</f>
        <v>65.012500000000003</v>
      </c>
      <c r="AA6">
        <f>(IF(X6&gt;80, 80*(100-$F$4)/100, X6*(100-$F$4)/100) + IF(Y6&gt;80, 80*$F$4/100, Y6*$F$4/100))/100*((1+$I$6/100)*(1+$J$6/100)*1.12*($D$4+$K$4+32)-100)</f>
        <v>176.7767144</v>
      </c>
      <c r="AC6">
        <f t="shared" si="0"/>
        <v>644.92891191679655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5" t="s">
        <v>63</v>
      </c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32.71</v>
      </c>
      <c r="X7">
        <f>MIN($C$4 + $G$4 + $I$4 + $J$4 + 20 + 4, 120)</f>
        <v>68.5</v>
      </c>
      <c r="Y7">
        <f>MIN($C$4 + $G$4 + $I$4 + $J$4 + 20 + 4 + 10, 120)</f>
        <v>78.5</v>
      </c>
      <c r="Z7">
        <f>IF(X7&gt;80, (X7-80)*1.5*(100-$F$4)/100, 0) + IF(Y7&gt;80, (Y7-80)*1.5*$F$4/100, 0) + $N$4 + 14 + 5 + 20 + 15 + 20</f>
        <v>78</v>
      </c>
      <c r="AA7">
        <f>(IF(X7&gt;80, 80*(100-$F$4)/100, X7*(100-$F$4)/100) + IF(Y7&gt;80, 80*$F$4/100, Y7*$F$4/100))/100*((1+$I$6/100)*(1+$J$6/100)*1.12*($D$4+$K$4+32)-100)</f>
        <v>171.59542400000001</v>
      </c>
      <c r="AC7">
        <f t="shared" si="0"/>
        <v>641.57303119891208</v>
      </c>
    </row>
    <row r="8" spans="1:30" ht="17.25" customHeight="1" thickTop="1" x14ac:dyDescent="0.3">
      <c r="A8" s="40"/>
      <c r="B8" s="47"/>
      <c r="C8" s="47"/>
      <c r="D8" s="38"/>
      <c r="E8" s="61" t="s">
        <v>43</v>
      </c>
      <c r="F8" s="61"/>
      <c r="G8" s="61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41.21</v>
      </c>
      <c r="X8">
        <f>MIN($C$4 + $G$4 + $I$4 + $J$4 + 20 + 4 + 7, 120)</f>
        <v>75.5</v>
      </c>
      <c r="Y8">
        <f>MIN($C$4 + $G$4 + $I$4 + $J$4 + 20 + 4 + 7 + 10, 120)</f>
        <v>85.5</v>
      </c>
      <c r="Z8">
        <f>IF(X8&gt;80, (X8-80)*1.5*(100-$F$4)/100, 0) + IF(Y8&gt;80, (Y8-80)*1.5*$F$4/100, 0) + $N$4 + 14 + 5 + 20 + 15 + 20</f>
        <v>85.012500000000003</v>
      </c>
      <c r="AA8">
        <f>(IF(X8&gt;80, 80*(100-$F$4)/100, X8*(100-$F$4)/100) + IF(Y8&gt;80, 80*$F$4/100, Y8*$F$4/100))/100*((1+$I$6/100)*(1+$J$6/100)*($D$4+$K$4+32)-100)</f>
        <v>149.337245</v>
      </c>
      <c r="AC8">
        <f t="shared" si="0"/>
        <v>651.40888991978306</v>
      </c>
    </row>
    <row r="9" spans="1:30" x14ac:dyDescent="0.3">
      <c r="A9" s="40"/>
      <c r="B9" s="47"/>
      <c r="C9" s="47"/>
      <c r="D9" s="47"/>
      <c r="E9" s="62"/>
      <c r="F9" s="62"/>
      <c r="G9" s="62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41.21</v>
      </c>
      <c r="X9">
        <f>MIN($C$4 + $G$4 + $I$4 + $J$4 + 20 + 7, 120)</f>
        <v>71.5</v>
      </c>
      <c r="Y9">
        <f>MIN($C$4 + $G$4 + $I$4 + $J$4 + 20 + 7 + 10, 120)</f>
        <v>81.5</v>
      </c>
      <c r="Z9">
        <f>IF(X9&gt;80, (X9-80)*1.5*(100-$F$4)/100, 0) + IF(Y9&gt;80, (Y9-80)*1.5*$F$4/100, 0) + $N$4 + 14 + 30 + 15</f>
        <v>64.912499999999994</v>
      </c>
      <c r="AA9">
        <f>(IF(X9&gt;80, 80*(100-$F$4)/100, X9*(100-$F$4)/100) + IF(Y9&gt;80, 80*$F$4/100, Y9*$F$4/100))/100*((1+$I$6/100)*(1+$J$6/100)*1.12*($D$4+$K$4+32)-100)</f>
        <v>175.43960719999998</v>
      </c>
      <c r="AC9">
        <f t="shared" si="0"/>
        <v>641.42431465408674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32.71</v>
      </c>
      <c r="X10">
        <f>MIN($C$4 + $G$4 + $I$4 + $J$4 + 20, 120)</f>
        <v>64.5</v>
      </c>
      <c r="Y10">
        <f>MIN($C$4 + $G$4 + $I$4 + $J$4 + 20 + 10, 120)</f>
        <v>74.5</v>
      </c>
      <c r="Z10">
        <f>IF(X10&gt;80, (X10-80)*1.5*(100-$F$4)/100, 0) + IF(Y10&gt;80, (Y10-80)*1.5*$F$4/100, 0) + $N$4 + 14 + 30 + 15 + 20</f>
        <v>83</v>
      </c>
      <c r="AA10">
        <f>(IF(X10&gt;80, 80*(100-$F$4)/100, X10*(100-$F$4)/100) + IF(Y10&gt;80, 80*$F$4/100, Y10*$F$4/100))/100*((1+$I$6/100)*(1+$J$6/100)*1.12*($D$4+$K$4+32)-100)</f>
        <v>162.681376</v>
      </c>
      <c r="AC10">
        <f t="shared" si="0"/>
        <v>637.9461509839681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41.21</v>
      </c>
      <c r="X11">
        <f>MIN($C$4 + $G$4 + $I$4 + $J$4 + 20 + 7, 120)</f>
        <v>71.5</v>
      </c>
      <c r="Y11">
        <f>MIN($C$4 + $G$4 + $I$4 + $J$4 + 20 + 7 + 10, 120)</f>
        <v>81.5</v>
      </c>
      <c r="Z11">
        <f>IF(X11&gt;80, (X11-80)*1.5*(100-$F$4)/100, 0) + IF(Y11&gt;80, (Y11-80)*1.5*$F$4/100, 0) + $N$4 + 14 + 30 + 15 + 20</f>
        <v>84.912499999999994</v>
      </c>
      <c r="AA11">
        <f>(IF(X11&gt;80, 80*(100-$F$4)/100, X11*(100-$F$4)/100) + IF(Y11&gt;80, 80*$F$4/100, Y11*$F$4/100))/100*((1+$I$6/100)*(1+$J$6/100)*($D$4+$K$4+32)-100)</f>
        <v>148.20768499999997</v>
      </c>
      <c r="AC11">
        <f t="shared" si="0"/>
        <v>648.10735086573504</v>
      </c>
      <c r="AD11" t="s">
        <v>39</v>
      </c>
    </row>
    <row r="12" spans="1:30" x14ac:dyDescent="0.3">
      <c r="A12" s="40"/>
      <c r="B12" s="47"/>
      <c r="C12" s="47"/>
      <c r="D12" s="48"/>
      <c r="E12" s="85" t="s">
        <v>44</v>
      </c>
      <c r="F12" s="85"/>
      <c r="G12" s="85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41.21</v>
      </c>
      <c r="X12">
        <f>MIN($C$4 + $G$4 + $I$4 + $J$4 + 20 + 8 + 7, 100)</f>
        <v>79.5</v>
      </c>
      <c r="Y12">
        <f>MIN($C$4 + $G$4 + $I$4 + $J$4 + 20 + 8 + 7 + 10, 100)</f>
        <v>89.5</v>
      </c>
      <c r="Z12">
        <f>$N$4 + 14 + 10 + 10 + 12 + $M$4*9/100</f>
        <v>58.91</v>
      </c>
      <c r="AA12">
        <f>(X12*(100-$F$4)/100 + Y12*$F$4/100)/100*((1+$I$6/100)*(1+$J$6/100)*1.12*($D$4+$K$4+32)-100)</f>
        <v>196.10905600000001</v>
      </c>
      <c r="AC12">
        <f t="shared" si="0"/>
        <v>664.45927874620418</v>
      </c>
      <c r="AD12">
        <f>MATCH(MAX(AC12:AC20), AC3:AC20, 0)</f>
        <v>12</v>
      </c>
    </row>
    <row r="13" spans="1:30" ht="17.25" thickBot="1" x14ac:dyDescent="0.35">
      <c r="A13" s="40"/>
      <c r="B13" s="57"/>
      <c r="C13" s="57"/>
      <c r="D13" s="57"/>
      <c r="E13" s="57"/>
      <c r="F13" s="57"/>
      <c r="G13" s="57"/>
      <c r="H13" s="57"/>
      <c r="I13" s="57"/>
      <c r="J13" s="57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32.71</v>
      </c>
      <c r="X13">
        <f>MIN($C$4 + $G$4 + $I$4 + $J$4 + 20 + 8, 100)</f>
        <v>72.5</v>
      </c>
      <c r="Y13">
        <f>MIN($C$4 + $G$4 + $I$4 + $J$4 + 20 + 8 + 10, 100)</f>
        <v>82.5</v>
      </c>
      <c r="Z13">
        <f>$N$4 + 14 + 10 + 10 + 12 + 20 + $M$4*9/100</f>
        <v>78.91</v>
      </c>
      <c r="AA13">
        <f>(X13*(100-$F$4)/100 + Y13*$F$4/100)/100*((1+$I$6/100)*(1+$J$6/100)*1.12*($D$4+$K$4+32)-100)</f>
        <v>180.50947200000002</v>
      </c>
      <c r="AC13">
        <f t="shared" si="0"/>
        <v>666.01773761298602</v>
      </c>
    </row>
    <row r="14" spans="1:30" x14ac:dyDescent="0.3">
      <c r="A14" s="40"/>
      <c r="B14" s="56"/>
      <c r="C14" s="71" t="s">
        <v>15</v>
      </c>
      <c r="D14" s="72"/>
      <c r="E14" s="72"/>
      <c r="F14" s="72"/>
      <c r="G14" s="72"/>
      <c r="H14" s="72"/>
      <c r="I14" s="73"/>
      <c r="J14" s="86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41.21</v>
      </c>
      <c r="X14">
        <f>MIN($C$4 + $G$4 + $I$4 + $J$4 + 20 + 8 + 7, 100)</f>
        <v>79.5</v>
      </c>
      <c r="Y14">
        <f>MIN($C$4 + $G$4 + $I$4 + $J$4 + 20 + 8 + 7 + 10, 100)</f>
        <v>89.5</v>
      </c>
      <c r="Z14">
        <f>$N$4 + 14 + 10 + 10 + 12 + 20 + $M$4*9/100</f>
        <v>78.91</v>
      </c>
      <c r="AA14">
        <f>(X14*(100-$F$4)/100 + Y14*$F$4/100)/100*((1+$I$6/100)*(1+$J$6/100)*($D$4+$K$4+32)-100)</f>
        <v>165.6688</v>
      </c>
      <c r="AC14">
        <f t="shared" si="0"/>
        <v>671.18249751796827</v>
      </c>
    </row>
    <row r="15" spans="1:30" x14ac:dyDescent="0.3">
      <c r="A15" s="40"/>
      <c r="B15" s="56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6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41.21</v>
      </c>
      <c r="X15">
        <f>MIN($C$4 + $G$4 + $I$4 + $J$4 + 20 + 4 + 7, 100)</f>
        <v>75.5</v>
      </c>
      <c r="Y15">
        <f>MIN($C$4 + $G$4 + $I$4 + $J$4 + 20 + 4 + 7 + 10, 100)</f>
        <v>85.5</v>
      </c>
      <c r="Z15">
        <f>$N$4 + 14 + 5 + 20 + 12 + $M$4*9/100</f>
        <v>63.91</v>
      </c>
      <c r="AA15">
        <f>(X15*(100-$F$4)/100 + Y15*$F$4/100)/100*((1+$I$6/100)*(1+$J$6/100)*1.12*($D$4+$K$4+32)-100)</f>
        <v>187.195008</v>
      </c>
      <c r="AC15">
        <f t="shared" si="0"/>
        <v>664.73384284303495</v>
      </c>
    </row>
    <row r="16" spans="1:30" ht="16.5" customHeight="1" thickBot="1" x14ac:dyDescent="0.35">
      <c r="A16" s="40"/>
      <c r="B16" s="56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예감2</v>
      </c>
      <c r="G16" s="3" t="str">
        <f>IF(OR(AD3=1, AD3=2, AD3=3, AD3=10, AD3=11, AD3=12), "한돌1", IF(OR(AD3=4, AD3=5, AD3=6, AD3=13, AD3=14, AD3=15), "한돌2", "한돌3"))</f>
        <v>한돌1</v>
      </c>
      <c r="H16" s="4"/>
      <c r="I16" s="7"/>
      <c r="J16" s="86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32.71</v>
      </c>
      <c r="X16">
        <f>MIN($C$4 + $G$4 + $I$4 + $J$4 + 20 + 4, 100)</f>
        <v>68.5</v>
      </c>
      <c r="Y16">
        <f>MIN($C$4 + $G$4 + $I$4 + $J$4 + 20 + 4 + 10, 100)</f>
        <v>78.5</v>
      </c>
      <c r="Z16">
        <f>$N$4 + 14 + 5 + 20 + 12 + 20 + $M$4*9/100</f>
        <v>83.91</v>
      </c>
      <c r="AA16">
        <f>(X16*(100-$F$4)/100 + Y16*$F$4/100)/100*((1+$I$6/100)*(1+$J$6/100)*1.12*($D$4+$K$4+32)-100)</f>
        <v>171.59542400000001</v>
      </c>
      <c r="AC16">
        <f t="shared" si="0"/>
        <v>662.87469757186466</v>
      </c>
    </row>
    <row r="17" spans="1:29" x14ac:dyDescent="0.3">
      <c r="A17" s="40"/>
      <c r="B17" s="56"/>
      <c r="C17" s="6" t="s">
        <v>18</v>
      </c>
      <c r="D17" s="4"/>
      <c r="E17" s="4"/>
      <c r="F17" s="5" t="s">
        <v>38</v>
      </c>
      <c r="G17" s="4"/>
      <c r="H17" s="4"/>
      <c r="I17" s="7"/>
      <c r="J17" s="86"/>
      <c r="K17" s="47"/>
      <c r="L17" s="76" t="s">
        <v>42</v>
      </c>
      <c r="M17" s="77"/>
      <c r="N17" s="77"/>
      <c r="O17" s="78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41.21</v>
      </c>
      <c r="X17">
        <f>MIN($C$4 + $G$4 + $I$4 + $J$4 + 20 + 4 + 7, 100)</f>
        <v>75.5</v>
      </c>
      <c r="Y17">
        <f>MIN($C$4 + $G$4 + $I$4 + $J$4 + 20 + 4 + 7 + 10, 100)</f>
        <v>85.5</v>
      </c>
      <c r="Z17">
        <f>$N$4 + 14 + 5 + 20 + 12 + 20 + $M$4*9/100</f>
        <v>83.91</v>
      </c>
      <c r="AA17">
        <f>(X17*(100-$F$4)/100 + Y17*$F$4/100)/100*((1+$I$6/100)*(1+$J$6/100)*($D$4+$K$4+32)-100)</f>
        <v>158.13839999999999</v>
      </c>
      <c r="AC17">
        <f t="shared" si="0"/>
        <v>670.38364622642405</v>
      </c>
    </row>
    <row r="18" spans="1:29" x14ac:dyDescent="0.3">
      <c r="A18" s="40"/>
      <c r="B18" s="56"/>
      <c r="C18" s="6" t="s">
        <v>19</v>
      </c>
      <c r="D18" s="3" t="str">
        <f>IF(OR(AD3=1, AD3=2, AD3=4, AD3=5, AD3=7, AD3=8, AD3=10, AD3=11, AD3=13, AD3=14, AD3=16, AD3=17), "회심", "X")</f>
        <v>X</v>
      </c>
      <c r="E18" s="3" t="str">
        <f>IF(OR(AD3=1, AD3=3, AD3=4, AD3=6, AD3=7, AD3=9, AD3=10, AD3=12, AD3=13, AD3=15, AD3=16, AD3=18), "달인", "X")</f>
        <v>달인</v>
      </c>
      <c r="F18" s="3" t="str">
        <f>IF(OR(AD3=2, AD3=3, AD3=5, AD3=6, AD3=8, AD3=9, AD3=11, AD3=12, AD3=14, AD3=15, AD3=17, AD3=18), "분쇄", "X")</f>
        <v>분쇄</v>
      </c>
      <c r="G18" s="4"/>
      <c r="H18" s="4"/>
      <c r="I18" s="7"/>
      <c r="J18" s="86"/>
      <c r="K18" s="47"/>
      <c r="L18" s="79"/>
      <c r="M18" s="80"/>
      <c r="N18" s="80"/>
      <c r="O18" s="81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41.21</v>
      </c>
      <c r="X18">
        <f>MIN($C$4 + $G$4 + $I$4 + $J$4 + 20 + 7, 100)</f>
        <v>71.5</v>
      </c>
      <c r="Y18">
        <f>MIN($C$4 + $G$4 + $I$4 + $J$4 + 20 + 7 + 10, 100)</f>
        <v>81.5</v>
      </c>
      <c r="Z18">
        <f>$N$4 + 14 + 30 + 12 + $M$4*9/100</f>
        <v>68.91</v>
      </c>
      <c r="AA18">
        <f>(X18*(100-$F$4)/100 + Y18*$F$4/100)/100*((1+$I$6/100)*(1+$J$6/100)*1.12*($D$4+$K$4+32)-100)</f>
        <v>178.28096000000002</v>
      </c>
      <c r="AC18">
        <f t="shared" si="0"/>
        <v>663.7496542217857</v>
      </c>
    </row>
    <row r="19" spans="1:29" ht="17.25" thickBot="1" x14ac:dyDescent="0.35">
      <c r="A19" s="40"/>
      <c r="B19" s="56"/>
      <c r="C19" s="8" t="s">
        <v>20</v>
      </c>
      <c r="D19" s="9" t="str">
        <f>IF(AD3&lt;10, "뭉가2", "X")</f>
        <v>X</v>
      </c>
      <c r="E19" s="10"/>
      <c r="F19" s="10"/>
      <c r="G19" s="9" t="str">
        <f>IF(AD3&lt;10, "X", "입타2")</f>
        <v>입타2</v>
      </c>
      <c r="H19" s="10"/>
      <c r="I19" s="11"/>
      <c r="J19" s="86"/>
      <c r="K19" s="47"/>
      <c r="L19" s="79"/>
      <c r="M19" s="80"/>
      <c r="N19" s="80"/>
      <c r="O19" s="81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32.71</v>
      </c>
      <c r="X19">
        <f>MIN($C$4 + $G$4 + $I$4 + $J$4 + 20, 100)</f>
        <v>64.5</v>
      </c>
      <c r="Y19">
        <f>MIN($C$4 + $G$4 + $I$4 + $J$4 + 20 + 10, 100)</f>
        <v>74.5</v>
      </c>
      <c r="Z19">
        <f>$N$4 + 14 + 30 + 12 + 20 + $M$4*9/100</f>
        <v>88.91</v>
      </c>
      <c r="AA19">
        <f>(X19*(100-$F$4)/100 + Y19*$F$4/100)/100*((1+$I$6/100)*(1+$J$6/100)*1.12*($D$4+$K$4+32)-100)</f>
        <v>162.681376</v>
      </c>
      <c r="AC19">
        <f t="shared" si="0"/>
        <v>658.54867422066343</v>
      </c>
    </row>
    <row r="20" spans="1:29" x14ac:dyDescent="0.3">
      <c r="A20" s="40"/>
      <c r="B20" s="57"/>
      <c r="C20" s="57"/>
      <c r="D20" s="57"/>
      <c r="E20" s="57"/>
      <c r="F20" s="57"/>
      <c r="G20" s="57"/>
      <c r="H20" s="57"/>
      <c r="I20" s="57"/>
      <c r="J20" s="57"/>
      <c r="K20" s="47"/>
      <c r="L20" s="79"/>
      <c r="M20" s="80"/>
      <c r="N20" s="80"/>
      <c r="O20" s="81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41.21</v>
      </c>
      <c r="X20">
        <f>MIN($C$4 + $G$4 + $I$4 + $J$4 + 20 + 7, 100)</f>
        <v>71.5</v>
      </c>
      <c r="Y20">
        <f>MIN($C$4 + $G$4 + $I$4 + $J$4 + 20 + 7 + 10, 100)</f>
        <v>81.5</v>
      </c>
      <c r="Z20">
        <f>$N$4 + 14 + 30 + 12 + 20 + $M$4*9/100</f>
        <v>88.91</v>
      </c>
      <c r="AA20">
        <f>(X20*(100-$F$4)/100 + Y20*$F$4/100)/100*((1+$I$6/100)*(1+$J$6/100)*($D$4+$K$4+32)-100)</f>
        <v>150.608</v>
      </c>
      <c r="AC20">
        <f t="shared" si="0"/>
        <v>668.52142715088007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9"/>
      <c r="M21" s="80"/>
      <c r="N21" s="80"/>
      <c r="O21" s="81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9"/>
      <c r="M22" s="80"/>
      <c r="N22" s="80"/>
      <c r="O22" s="81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9"/>
      <c r="M23" s="80"/>
      <c r="N23" s="80"/>
      <c r="O23" s="81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60" t="str">
        <f>IF(AD3&lt;10, "그런데 뭉가 끼면", "원래 입타에요")</f>
        <v>원래 입타에요</v>
      </c>
      <c r="J24" s="60"/>
      <c r="K24" s="47"/>
      <c r="L24" s="79"/>
      <c r="M24" s="80"/>
      <c r="N24" s="80"/>
      <c r="O24" s="81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60" t="s">
        <v>41</v>
      </c>
      <c r="F25" s="60"/>
      <c r="G25" s="60"/>
      <c r="H25" s="47"/>
      <c r="I25" s="46" t="str">
        <f>IF(AD3&lt;10, (MAX(AC3:AC20)/MAX(AC12:AC20)-1)*100, "")</f>
        <v/>
      </c>
      <c r="J25" s="45" t="str">
        <f>IF(AD3&lt;10, "% 더세요", "")</f>
        <v/>
      </c>
      <c r="K25" s="47"/>
      <c r="L25" s="82"/>
      <c r="M25" s="83"/>
      <c r="N25" s="83"/>
      <c r="O25" s="84"/>
      <c r="P25" s="50"/>
      <c r="Q25" s="51"/>
      <c r="R25" s="52"/>
    </row>
    <row r="26" spans="1:29" ht="17.25" thickBot="1" x14ac:dyDescent="0.35">
      <c r="A26" s="40"/>
      <c r="B26" s="60"/>
      <c r="C26" s="60"/>
      <c r="D26" s="60"/>
      <c r="E26" s="60"/>
      <c r="F26" s="60"/>
      <c r="G26" s="60"/>
      <c r="H26" s="60"/>
      <c r="I26" s="60"/>
      <c r="J26" s="60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5"/>
      <c r="C27" s="31" t="s">
        <v>15</v>
      </c>
      <c r="D27" s="32"/>
      <c r="E27" s="32"/>
      <c r="F27" s="32"/>
      <c r="G27" s="32"/>
      <c r="H27" s="32"/>
      <c r="I27" s="33"/>
      <c r="J27" s="74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5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4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5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예감2</v>
      </c>
      <c r="G29" s="3" t="str">
        <f>IF(OR(AD12=1, AD12=2, AD12=3, AD12=10, AD12=11, AD12=12), "한돌1", IF(OR(AD12=4, AD12=5, AD12=6, AD12=13, AD12=14, AD12=15), "한돌2", "한돌3"))</f>
        <v>한돌1</v>
      </c>
      <c r="H29" s="4"/>
      <c r="I29" s="7"/>
      <c r="J29" s="74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5"/>
      <c r="C30" s="6" t="s">
        <v>18</v>
      </c>
      <c r="D30" s="4"/>
      <c r="E30" s="4"/>
      <c r="F30" s="5" t="s">
        <v>38</v>
      </c>
      <c r="G30" s="4"/>
      <c r="H30" s="4"/>
      <c r="I30" s="7"/>
      <c r="J30" s="74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5"/>
      <c r="C31" s="6" t="s">
        <v>19</v>
      </c>
      <c r="D31" s="3" t="str">
        <f>IF(OR(AD12=1, AD12=2, AD12=4, AD12=5, AD12=7, AD12=8, AD12=10, AD12=11, AD12=13, AD12=14, AD12=16, AD12=17), "회심", "X")</f>
        <v>X</v>
      </c>
      <c r="E31" s="3" t="str">
        <f>IF(OR(AD12=1, AD12=3, AD12=4, AD12=6, AD12=7, AD12=9, AD12=10, AD12=12, AD12=13, AD12=15, AD12=16, AD12=18), "달인", "X")</f>
        <v>달인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4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5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4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60"/>
      <c r="C33" s="60"/>
      <c r="D33" s="60"/>
      <c r="E33" s="60"/>
      <c r="F33" s="60"/>
      <c r="G33" s="60"/>
      <c r="H33" s="60"/>
      <c r="I33" s="60"/>
      <c r="J33" s="60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  <mergeCell ref="B26:J26"/>
    <mergeCell ref="B27:B32"/>
    <mergeCell ref="J27:J32"/>
    <mergeCell ref="B33:J33"/>
    <mergeCell ref="B13:J13"/>
    <mergeCell ref="B14:B19"/>
    <mergeCell ref="C14:I14"/>
    <mergeCell ref="J14:J19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9CC5-25E1-4311-BBC8-86F41D4F3B2E}">
  <dimension ref="A1:AD36"/>
  <sheetViews>
    <sheetView workbookViewId="0"/>
  </sheetViews>
  <sheetFormatPr defaultColWidth="15.625" defaultRowHeight="16.5" x14ac:dyDescent="0.3"/>
  <cols>
    <col min="20" max="30" width="15.625" hidden="1" customWidth="1"/>
  </cols>
  <sheetData>
    <row r="1" spans="1:30" ht="17.25" thickBot="1" x14ac:dyDescent="0.35">
      <c r="A1" s="34"/>
      <c r="B1" s="34"/>
      <c r="C1" s="54" t="s">
        <v>52</v>
      </c>
      <c r="D1" s="54" t="s">
        <v>51</v>
      </c>
      <c r="E1" s="34"/>
      <c r="F1" s="54" t="s">
        <v>59</v>
      </c>
      <c r="G1" s="34"/>
      <c r="H1" s="34"/>
      <c r="I1" s="34"/>
      <c r="J1" s="34"/>
      <c r="K1" s="34"/>
      <c r="L1" s="34"/>
      <c r="M1" s="34"/>
      <c r="N1" s="54" t="s">
        <v>53</v>
      </c>
      <c r="O1" s="34"/>
      <c r="P1" s="34"/>
      <c r="Q1" s="34"/>
      <c r="R1" s="34"/>
    </row>
    <row r="2" spans="1:30" x14ac:dyDescent="0.3">
      <c r="A2" s="34"/>
      <c r="B2" s="63" t="s">
        <v>10</v>
      </c>
      <c r="C2" s="64"/>
      <c r="D2" s="65"/>
      <c r="E2" s="34"/>
      <c r="F2" s="66" t="s">
        <v>9</v>
      </c>
      <c r="G2" s="67"/>
      <c r="H2" s="34"/>
      <c r="I2" s="68" t="s">
        <v>8</v>
      </c>
      <c r="J2" s="69"/>
      <c r="K2" s="70"/>
      <c r="L2" s="34"/>
      <c r="M2" s="58" t="s">
        <v>11</v>
      </c>
      <c r="N2" s="59"/>
      <c r="O2" s="36"/>
      <c r="P2" s="36"/>
      <c r="Q2" s="36"/>
      <c r="R2" s="36"/>
      <c r="S2" s="1"/>
      <c r="T2" t="s">
        <v>20</v>
      </c>
      <c r="U2" t="s">
        <v>17</v>
      </c>
      <c r="V2" t="s">
        <v>19</v>
      </c>
      <c r="W2" t="s">
        <v>29</v>
      </c>
      <c r="X2" t="s">
        <v>32</v>
      </c>
      <c r="Y2" t="s">
        <v>31</v>
      </c>
      <c r="Z2" t="s">
        <v>30</v>
      </c>
      <c r="AA2" t="s">
        <v>46</v>
      </c>
      <c r="AC2" t="s">
        <v>33</v>
      </c>
      <c r="AD2" t="s">
        <v>34</v>
      </c>
    </row>
    <row r="3" spans="1:30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40</v>
      </c>
      <c r="O3" s="36"/>
      <c r="P3" s="36"/>
      <c r="Q3" s="36"/>
      <c r="R3" s="36"/>
      <c r="S3" s="1"/>
      <c r="T3" t="s">
        <v>24</v>
      </c>
      <c r="U3" t="s">
        <v>21</v>
      </c>
      <c r="V3" t="s">
        <v>26</v>
      </c>
      <c r="W3">
        <f>$B$4 + 8.5</f>
        <v>42.58</v>
      </c>
      <c r="X3">
        <f>MIN($C$4 + $G$4 + $I$4 + $J$4 + 20 + 8 + 7, 120)</f>
        <v>102.32</v>
      </c>
      <c r="Y3">
        <f>MIN($C$4 + $G$4 + $I$4 + $J$4 + 20 + 8 + 7 + 10, 120)</f>
        <v>112.32</v>
      </c>
      <c r="Z3">
        <f>IF(X3&gt;80, (X3-80)*1.5*(100-$F$4)/100, 0) + IF(Y3&gt;80, (Y3-80)*1.5*$F$4/100, 0) + $N$4 + 14 + 10 + 10 + 15</f>
        <v>104.17999999999999</v>
      </c>
      <c r="AA3">
        <f>(IF(X3&gt;80, 80*(100-$F$4)/100, X3*(100-$F$4)/100) + IF(Y3&gt;80, 80*$F$4/100, Y3*$F$4/100))/100*((1+$I$6/100)*(1+$J$6/100)*1.12*($D$4+$K$4+32)-100)</f>
        <v>153.31840000000003</v>
      </c>
      <c r="AC3">
        <f t="shared" ref="AC3:AC20" si="0">(100+W3)/100*(100+Z3)/100*(100+AA3)</f>
        <v>737.46013090329586</v>
      </c>
      <c r="AD3">
        <f>MATCH(MAX(AC3:AC20), AC3:AC20, 0)</f>
        <v>14</v>
      </c>
    </row>
    <row r="4" spans="1:30" ht="17.25" thickBot="1" x14ac:dyDescent="0.35">
      <c r="A4" s="34"/>
      <c r="B4" s="28">
        <v>34.08</v>
      </c>
      <c r="C4" s="29">
        <v>46.32</v>
      </c>
      <c r="D4" s="30">
        <v>228.4</v>
      </c>
      <c r="E4" s="36"/>
      <c r="F4" s="14">
        <v>18</v>
      </c>
      <c r="G4" s="15">
        <v>18.5</v>
      </c>
      <c r="H4" s="36"/>
      <c r="I4" s="18">
        <v>0</v>
      </c>
      <c r="J4" s="24">
        <v>2.5</v>
      </c>
      <c r="K4" s="19">
        <v>0</v>
      </c>
      <c r="L4" s="34"/>
      <c r="M4" s="22">
        <v>99</v>
      </c>
      <c r="N4" s="23">
        <v>19</v>
      </c>
      <c r="O4" s="36"/>
      <c r="P4" s="36"/>
      <c r="Q4" s="36"/>
      <c r="R4" s="36"/>
      <c r="S4" s="1"/>
      <c r="T4" t="s">
        <v>24</v>
      </c>
      <c r="U4" t="s">
        <v>21</v>
      </c>
      <c r="V4" t="s">
        <v>27</v>
      </c>
      <c r="W4">
        <f>$B$4</f>
        <v>34.08</v>
      </c>
      <c r="X4">
        <f>MIN($C$4 + $G$4 + $I$4 + $J$4 + 20 + 8, 120)</f>
        <v>95.32</v>
      </c>
      <c r="Y4">
        <f>MIN($C$4 + $G$4 + $I$4 + $J$4 + 20 + 8 + 10, 120)</f>
        <v>105.32</v>
      </c>
      <c r="Z4">
        <f>IF(X4&gt;80, (X4-80)*1.5*(100-$F$4)/100, 0) + IF(Y4&gt;80, (Y4-80)*1.5*$F$4/100, 0) + $N$4 + 14 + 10 + 10 + 15 + 20</f>
        <v>113.67999999999999</v>
      </c>
      <c r="AA4">
        <f>(IF(X4&gt;80, 80*(100-$F$4)/100, X4*(100-$F$4)/100) + IF(Y4&gt;80, 80*$F$4/100, Y4*$F$4/100))/100*((1+$I$6/100)*(1+$J$6/100)*1.12*($D$4+$K$4+32)-100)</f>
        <v>153.31840000000003</v>
      </c>
      <c r="AC4">
        <f t="shared" si="0"/>
        <v>725.76264714649608</v>
      </c>
    </row>
    <row r="5" spans="1:30" x14ac:dyDescent="0.3">
      <c r="A5" s="34"/>
      <c r="B5" s="34"/>
      <c r="C5" s="34"/>
      <c r="D5" s="54"/>
      <c r="E5" s="34"/>
      <c r="F5" s="54" t="s">
        <v>49</v>
      </c>
      <c r="G5" s="34"/>
      <c r="H5" s="34"/>
      <c r="I5" s="49" t="s">
        <v>45</v>
      </c>
      <c r="J5" s="55" t="s">
        <v>62</v>
      </c>
      <c r="K5" s="17"/>
      <c r="L5" s="34"/>
      <c r="M5" s="35" t="s">
        <v>14</v>
      </c>
      <c r="N5" s="34"/>
      <c r="O5" s="34"/>
      <c r="P5" s="34"/>
      <c r="Q5" s="34"/>
      <c r="R5" s="34"/>
      <c r="T5" t="s">
        <v>24</v>
      </c>
      <c r="U5" t="s">
        <v>21</v>
      </c>
      <c r="V5" t="s">
        <v>28</v>
      </c>
      <c r="W5">
        <f>$B$4 + 8.5</f>
        <v>42.58</v>
      </c>
      <c r="X5">
        <f>MIN($C$4 + $G$4 + $I$4 + $J$4 + 20 + 8 + 7, 120)</f>
        <v>102.32</v>
      </c>
      <c r="Y5">
        <f>MIN($C$4 + $G$4 + $I$4 + $J$4 + 20 + 8 + 7 + 10, 120)</f>
        <v>112.32</v>
      </c>
      <c r="Z5">
        <f>IF(X5&gt;80, (X5-80)*1.5*(100-$F$4)/100, 0) + IF(Y5&gt;80, (Y5-80)*1.5*$F$4/100, 0) + $N$4 + 14 + 10 + 10 + 15 + 20</f>
        <v>124.17999999999999</v>
      </c>
      <c r="AA5">
        <f>(IF(X5&gt;80, 80*(100-$F$4)/100, X5*(100-$F$4)/100) + IF(Y5&gt;80, 80*$F$4/100, Y5*$F$4/100))/100*((1+$I$6/100)*(1+$J$6/100)*($D$4+$K$4+32)-100)</f>
        <v>128.32</v>
      </c>
      <c r="AC5">
        <f t="shared" si="0"/>
        <v>729.7925590207999</v>
      </c>
    </row>
    <row r="6" spans="1:30" ht="17.25" thickBot="1" x14ac:dyDescent="0.35">
      <c r="A6" s="34"/>
      <c r="B6" s="34"/>
      <c r="C6" s="34"/>
      <c r="D6" s="35"/>
      <c r="E6" s="34"/>
      <c r="F6" s="35" t="s">
        <v>58</v>
      </c>
      <c r="G6" s="34"/>
      <c r="H6" s="34"/>
      <c r="I6" s="18">
        <v>0</v>
      </c>
      <c r="J6" s="24">
        <v>0</v>
      </c>
      <c r="K6" s="19"/>
      <c r="L6" s="34"/>
      <c r="M6" s="35" t="s">
        <v>13</v>
      </c>
      <c r="N6" s="34"/>
      <c r="O6" s="34"/>
      <c r="P6" s="34"/>
      <c r="Q6" s="34"/>
      <c r="R6" s="34"/>
      <c r="T6" t="s">
        <v>24</v>
      </c>
      <c r="U6" t="s">
        <v>22</v>
      </c>
      <c r="V6" t="s">
        <v>26</v>
      </c>
      <c r="W6">
        <f>$B$4 + 8.5</f>
        <v>42.58</v>
      </c>
      <c r="X6">
        <f>MIN($C$4 + $G$4 + $I$4 + $J$4 + 20 + 4 + 7, 120)</f>
        <v>98.32</v>
      </c>
      <c r="Y6">
        <f>MIN($C$4 + $G$4 + $I$4 + $J$4 + 20 + 4 + 7 + 10, 120)</f>
        <v>108.32</v>
      </c>
      <c r="Z6">
        <f>IF(X6&gt;80, (X6-80)*1.5*(100-$F$4)/100, 0) + IF(Y6&gt;80, (Y6-80)*1.5*$F$4/100, 0) + $N$4 + 14 + 5 + 20 + 15</f>
        <v>103.17999999999999</v>
      </c>
      <c r="AA6">
        <f>(IF(X6&gt;80, 80*(100-$F$4)/100, X6*(100-$F$4)/100) + IF(Y6&gt;80, 80*$F$4/100, Y6*$F$4/100))/100*((1+$I$6/100)*(1+$J$6/100)*1.12*($D$4+$K$4+32)-100)</f>
        <v>153.31840000000003</v>
      </c>
      <c r="AC6">
        <f t="shared" si="0"/>
        <v>733.84831715609607</v>
      </c>
    </row>
    <row r="7" spans="1:30" ht="16.5" customHeight="1" thickBot="1" x14ac:dyDescent="0.35">
      <c r="A7" s="53"/>
      <c r="B7" s="53"/>
      <c r="C7" s="53"/>
      <c r="D7" s="34"/>
      <c r="E7" s="34"/>
      <c r="F7" s="34"/>
      <c r="G7" s="34"/>
      <c r="H7" s="34"/>
      <c r="I7" s="34"/>
      <c r="J7" s="34"/>
      <c r="K7" s="34"/>
      <c r="L7" s="34"/>
      <c r="M7" s="35" t="s">
        <v>63</v>
      </c>
      <c r="N7" s="34"/>
      <c r="O7" s="34"/>
      <c r="P7" s="34"/>
      <c r="Q7" s="34"/>
      <c r="R7" s="34"/>
      <c r="T7" t="s">
        <v>24</v>
      </c>
      <c r="U7" t="s">
        <v>22</v>
      </c>
      <c r="V7" t="s">
        <v>27</v>
      </c>
      <c r="W7">
        <f>$B$4</f>
        <v>34.08</v>
      </c>
      <c r="X7">
        <f>MIN($C$4 + $G$4 + $I$4 + $J$4 + 20 + 4, 120)</f>
        <v>91.32</v>
      </c>
      <c r="Y7">
        <f>MIN($C$4 + $G$4 + $I$4 + $J$4 + 20 + 4 + 10, 120)</f>
        <v>101.32</v>
      </c>
      <c r="Z7">
        <f>IF(X7&gt;80, (X7-80)*1.5*(100-$F$4)/100, 0) + IF(Y7&gt;80, (Y7-80)*1.5*$F$4/100, 0) + $N$4 + 14 + 5 + 20 + 15 + 20</f>
        <v>112.67999999999999</v>
      </c>
      <c r="AA7">
        <f>(IF(X7&gt;80, 80*(100-$F$4)/100, X7*(100-$F$4)/100) + IF(Y7&gt;80, 80*$F$4/100, Y7*$F$4/100))/100*((1+$I$6/100)*(1+$J$6/100)*1.12*($D$4+$K$4+32)-100)</f>
        <v>153.31840000000003</v>
      </c>
      <c r="AC7">
        <f t="shared" si="0"/>
        <v>722.36615403929602</v>
      </c>
    </row>
    <row r="8" spans="1:30" ht="17.25" customHeight="1" thickTop="1" x14ac:dyDescent="0.3">
      <c r="A8" s="40"/>
      <c r="B8" s="47"/>
      <c r="C8" s="47"/>
      <c r="D8" s="38"/>
      <c r="E8" s="61" t="s">
        <v>43</v>
      </c>
      <c r="F8" s="61"/>
      <c r="G8" s="61"/>
      <c r="H8" s="38"/>
      <c r="I8" s="38"/>
      <c r="J8" s="38"/>
      <c r="K8" s="38"/>
      <c r="L8" s="38"/>
      <c r="M8" s="38"/>
      <c r="N8" s="38"/>
      <c r="O8" s="39"/>
      <c r="P8" s="37"/>
      <c r="Q8" s="38"/>
      <c r="R8" s="39"/>
      <c r="T8" t="s">
        <v>24</v>
      </c>
      <c r="U8" t="s">
        <v>22</v>
      </c>
      <c r="V8" t="s">
        <v>28</v>
      </c>
      <c r="W8">
        <f>$B$4 + 8.5</f>
        <v>42.58</v>
      </c>
      <c r="X8">
        <f>MIN($C$4 + $G$4 + $I$4 + $J$4 + 20 + 4 + 7, 120)</f>
        <v>98.32</v>
      </c>
      <c r="Y8">
        <f>MIN($C$4 + $G$4 + $I$4 + $J$4 + 20 + 4 + 7 + 10, 120)</f>
        <v>108.32</v>
      </c>
      <c r="Z8">
        <f>IF(X8&gt;80, (X8-80)*1.5*(100-$F$4)/100, 0) + IF(Y8&gt;80, (Y8-80)*1.5*$F$4/100, 0) + $N$4 + 14 + 5 + 20 + 15 + 20</f>
        <v>123.17999999999999</v>
      </c>
      <c r="AA8">
        <f>(IF(X8&gt;80, 80*(100-$F$4)/100, X8*(100-$F$4)/100) + IF(Y8&gt;80, 80*$F$4/100, Y8*$F$4/100))/100*((1+$I$6/100)*(1+$J$6/100)*($D$4+$K$4+32)-100)</f>
        <v>128.32</v>
      </c>
      <c r="AC8">
        <f t="shared" si="0"/>
        <v>726.53717246079975</v>
      </c>
    </row>
    <row r="9" spans="1:30" x14ac:dyDescent="0.3">
      <c r="A9" s="40"/>
      <c r="B9" s="47"/>
      <c r="C9" s="47"/>
      <c r="D9" s="47"/>
      <c r="E9" s="62"/>
      <c r="F9" s="62"/>
      <c r="G9" s="62"/>
      <c r="H9" s="47"/>
      <c r="I9" s="47"/>
      <c r="J9" s="47"/>
      <c r="K9" s="47"/>
      <c r="L9" s="47"/>
      <c r="M9" s="47"/>
      <c r="N9" s="47"/>
      <c r="O9" s="41"/>
      <c r="P9" s="40"/>
      <c r="Q9" s="47"/>
      <c r="R9" s="41"/>
      <c r="T9" t="s">
        <v>24</v>
      </c>
      <c r="U9" t="s">
        <v>23</v>
      </c>
      <c r="V9" t="s">
        <v>26</v>
      </c>
      <c r="W9">
        <f>$B$4 + 8.5</f>
        <v>42.58</v>
      </c>
      <c r="X9">
        <f>MIN($C$4 + $G$4 + $I$4 + $J$4 + 20 + 7, 120)</f>
        <v>94.32</v>
      </c>
      <c r="Y9">
        <f>MIN($C$4 + $G$4 + $I$4 + $J$4 + 20 + 7 + 10, 120)</f>
        <v>104.32</v>
      </c>
      <c r="Z9">
        <f>IF(X9&gt;80, (X9-80)*1.5*(100-$F$4)/100, 0) + IF(Y9&gt;80, (Y9-80)*1.5*$F$4/100, 0) + $N$4 + 14 + 30 + 15</f>
        <v>102.17999999999999</v>
      </c>
      <c r="AA9">
        <f>(IF(X9&gt;80, 80*(100-$F$4)/100, X9*(100-$F$4)/100) + IF(Y9&gt;80, 80*$F$4/100, Y9*$F$4/100))/100*((1+$I$6/100)*(1+$J$6/100)*1.12*($D$4+$K$4+32)-100)</f>
        <v>153.31840000000003</v>
      </c>
      <c r="AC9">
        <f t="shared" si="0"/>
        <v>730.23650340889606</v>
      </c>
    </row>
    <row r="10" spans="1:30" x14ac:dyDescent="0.3">
      <c r="A10" s="4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1"/>
      <c r="P10" s="40"/>
      <c r="Q10" s="47"/>
      <c r="R10" s="41"/>
      <c r="T10" t="s">
        <v>24</v>
      </c>
      <c r="U10" t="s">
        <v>23</v>
      </c>
      <c r="V10" t="s">
        <v>27</v>
      </c>
      <c r="W10">
        <f>$B$4</f>
        <v>34.08</v>
      </c>
      <c r="X10">
        <f>MIN($C$4 + $G$4 + $I$4 + $J$4 + 20, 120)</f>
        <v>87.32</v>
      </c>
      <c r="Y10">
        <f>MIN($C$4 + $G$4 + $I$4 + $J$4 + 20 + 10, 120)</f>
        <v>97.32</v>
      </c>
      <c r="Z10">
        <f>IF(X10&gt;80, (X10-80)*1.5*(100-$F$4)/100, 0) + IF(Y10&gt;80, (Y10-80)*1.5*$F$4/100, 0) + $N$4 + 14 + 30 + 15 + 20</f>
        <v>111.67999999999999</v>
      </c>
      <c r="AA10">
        <f>(IF(X10&gt;80, 80*(100-$F$4)/100, X10*(100-$F$4)/100) + IF(Y10&gt;80, 80*$F$4/100, Y10*$F$4/100))/100*((1+$I$6/100)*(1+$J$6/100)*1.12*($D$4+$K$4+32)-100)</f>
        <v>153.31840000000003</v>
      </c>
      <c r="AC10">
        <f t="shared" si="0"/>
        <v>718.96966093209608</v>
      </c>
    </row>
    <row r="11" spans="1:30" x14ac:dyDescent="0.3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0"/>
      <c r="Q11" s="47"/>
      <c r="R11" s="41"/>
      <c r="T11" t="s">
        <v>24</v>
      </c>
      <c r="U11" t="s">
        <v>23</v>
      </c>
      <c r="V11" t="s">
        <v>28</v>
      </c>
      <c r="W11">
        <f>$B$4 + 8.5</f>
        <v>42.58</v>
      </c>
      <c r="X11">
        <f>MIN($C$4 + $G$4 + $I$4 + $J$4 + 20 + 7, 120)</f>
        <v>94.32</v>
      </c>
      <c r="Y11">
        <f>MIN($C$4 + $G$4 + $I$4 + $J$4 + 20 + 7 + 10, 120)</f>
        <v>104.32</v>
      </c>
      <c r="Z11">
        <f>IF(X11&gt;80, (X11-80)*1.5*(100-$F$4)/100, 0) + IF(Y11&gt;80, (Y11-80)*1.5*$F$4/100, 0) + $N$4 + 14 + 30 + 15 + 20</f>
        <v>122.17999999999999</v>
      </c>
      <c r="AA11">
        <f>(IF(X11&gt;80, 80*(100-$F$4)/100, X11*(100-$F$4)/100) + IF(Y11&gt;80, 80*$F$4/100, Y11*$F$4/100))/100*((1+$I$6/100)*(1+$J$6/100)*($D$4+$K$4+32)-100)</f>
        <v>128.32</v>
      </c>
      <c r="AC11">
        <f t="shared" si="0"/>
        <v>723.28178590079983</v>
      </c>
      <c r="AD11" t="s">
        <v>39</v>
      </c>
    </row>
    <row r="12" spans="1:30" x14ac:dyDescent="0.3">
      <c r="A12" s="40"/>
      <c r="B12" s="47"/>
      <c r="C12" s="47"/>
      <c r="D12" s="48"/>
      <c r="E12" s="85" t="s">
        <v>44</v>
      </c>
      <c r="F12" s="85"/>
      <c r="G12" s="85"/>
      <c r="H12" s="47"/>
      <c r="I12" s="47"/>
      <c r="J12" s="47"/>
      <c r="K12" s="47"/>
      <c r="L12" s="47"/>
      <c r="M12" s="47"/>
      <c r="N12" s="47"/>
      <c r="O12" s="41"/>
      <c r="P12" s="40"/>
      <c r="Q12" s="47"/>
      <c r="R12" s="41"/>
      <c r="T12" t="s">
        <v>25</v>
      </c>
      <c r="U12" t="s">
        <v>21</v>
      </c>
      <c r="V12" t="s">
        <v>26</v>
      </c>
      <c r="W12">
        <f>$B$4 + 8.5</f>
        <v>42.58</v>
      </c>
      <c r="X12">
        <f>MIN($C$4 + $G$4 + $I$4 + $J$4 + 20 + 8 + 7, 100)</f>
        <v>100</v>
      </c>
      <c r="Y12">
        <f>MIN($C$4 + $G$4 + $I$4 + $J$4 + 20 + 8 + 7 + 10, 100)</f>
        <v>100</v>
      </c>
      <c r="Z12">
        <f>$N$4 + 14 + 10 + 10 + 12 + $M$4*9/100</f>
        <v>73.91</v>
      </c>
      <c r="AA12">
        <f>(X12*(100-$F$4)/100 + Y12*$F$4/100)/100*((1+$I$6/100)*(1+$J$6/100)*1.12*($D$4+$K$4+32)-100)</f>
        <v>191.64800000000002</v>
      </c>
      <c r="AC12">
        <f t="shared" si="0"/>
        <v>723.17294146943993</v>
      </c>
      <c r="AD12">
        <f>MATCH(MAX(AC12:AC20), AC3:AC20, 0)</f>
        <v>14</v>
      </c>
    </row>
    <row r="13" spans="1:30" ht="17.25" thickBot="1" x14ac:dyDescent="0.35">
      <c r="A13" s="40"/>
      <c r="B13" s="57"/>
      <c r="C13" s="57"/>
      <c r="D13" s="57"/>
      <c r="E13" s="57"/>
      <c r="F13" s="57"/>
      <c r="G13" s="57"/>
      <c r="H13" s="57"/>
      <c r="I13" s="57"/>
      <c r="J13" s="57"/>
      <c r="K13" s="47"/>
      <c r="L13" s="47"/>
      <c r="M13" s="47"/>
      <c r="N13" s="47"/>
      <c r="O13" s="41"/>
      <c r="P13" s="40"/>
      <c r="Q13" s="47"/>
      <c r="R13" s="41"/>
      <c r="T13" t="s">
        <v>25</v>
      </c>
      <c r="U13" t="s">
        <v>21</v>
      </c>
      <c r="V13" t="s">
        <v>27</v>
      </c>
      <c r="W13">
        <f>$B$4</f>
        <v>34.08</v>
      </c>
      <c r="X13">
        <f>MIN($C$4 + $G$4 + $I$4 + $J$4 + 20 + 8, 100)</f>
        <v>95.32</v>
      </c>
      <c r="Y13">
        <f>MIN($C$4 + $G$4 + $I$4 + $J$4 + 20 + 8 + 10, 100)</f>
        <v>100</v>
      </c>
      <c r="Z13">
        <f>$N$4 + 14 + 10 + 10 + 12 + 20 + $M$4*9/100</f>
        <v>93.91</v>
      </c>
      <c r="AA13">
        <f>(X13*(100-$F$4)/100 + Y13*$F$4/100)/100*((1+$I$6/100)*(1+$J$6/100)*1.12*($D$4+$K$4+32)-100)</f>
        <v>184.29331635200001</v>
      </c>
      <c r="AC13">
        <f t="shared" si="0"/>
        <v>739.14706598492921</v>
      </c>
    </row>
    <row r="14" spans="1:30" x14ac:dyDescent="0.3">
      <c r="A14" s="40"/>
      <c r="B14" s="56"/>
      <c r="C14" s="71" t="s">
        <v>15</v>
      </c>
      <c r="D14" s="72"/>
      <c r="E14" s="72"/>
      <c r="F14" s="72"/>
      <c r="G14" s="72"/>
      <c r="H14" s="72"/>
      <c r="I14" s="73"/>
      <c r="J14" s="86"/>
      <c r="K14" s="47"/>
      <c r="L14" s="47"/>
      <c r="M14" s="47"/>
      <c r="N14" s="47"/>
      <c r="O14" s="41"/>
      <c r="P14" s="40"/>
      <c r="Q14" s="47"/>
      <c r="R14" s="41"/>
      <c r="T14" t="s">
        <v>25</v>
      </c>
      <c r="U14" t="s">
        <v>21</v>
      </c>
      <c r="V14" t="s">
        <v>28</v>
      </c>
      <c r="W14">
        <f>$B$4 + 8.5</f>
        <v>42.58</v>
      </c>
      <c r="X14">
        <f>MIN($C$4 + $G$4 + $I$4 + $J$4 + 20 + 8 + 7, 100)</f>
        <v>100</v>
      </c>
      <c r="Y14">
        <f>MIN($C$4 + $G$4 + $I$4 + $J$4 + 20 + 8 + 7 + 10, 100)</f>
        <v>100</v>
      </c>
      <c r="Z14">
        <f>$N$4 + 14 + 10 + 10 + 12 + 20 + $M$4*9/100</f>
        <v>93.91</v>
      </c>
      <c r="AA14">
        <f>(X14*(100-$F$4)/100 + Y14*$F$4/100)/100*((1+$I$6/100)*(1+$J$6/100)*($D$4+$K$4+32)-100)</f>
        <v>160.39999999999998</v>
      </c>
      <c r="AC14">
        <f t="shared" si="0"/>
        <v>719.94579031199976</v>
      </c>
    </row>
    <row r="15" spans="1:30" x14ac:dyDescent="0.3">
      <c r="A15" s="40"/>
      <c r="B15" s="56"/>
      <c r="C15" s="6" t="s">
        <v>16</v>
      </c>
      <c r="D15" s="5" t="s">
        <v>35</v>
      </c>
      <c r="E15" s="5" t="s">
        <v>36</v>
      </c>
      <c r="F15" s="4"/>
      <c r="G15" s="5" t="s">
        <v>37</v>
      </c>
      <c r="H15" s="4"/>
      <c r="I15" s="7"/>
      <c r="J15" s="86"/>
      <c r="K15" s="47"/>
      <c r="L15" s="47"/>
      <c r="M15" s="47"/>
      <c r="N15" s="47"/>
      <c r="O15" s="41"/>
      <c r="P15" s="40"/>
      <c r="Q15" s="47"/>
      <c r="R15" s="41"/>
      <c r="T15" t="s">
        <v>25</v>
      </c>
      <c r="U15" t="s">
        <v>22</v>
      </c>
      <c r="V15" t="s">
        <v>26</v>
      </c>
      <c r="W15">
        <f>$B$4 + 8.5</f>
        <v>42.58</v>
      </c>
      <c r="X15">
        <f>MIN($C$4 + $G$4 + $I$4 + $J$4 + 20 + 4 + 7, 100)</f>
        <v>98.32</v>
      </c>
      <c r="Y15">
        <f>MIN($C$4 + $G$4 + $I$4 + $J$4 + 20 + 4 + 7 + 10, 100)</f>
        <v>100</v>
      </c>
      <c r="Z15">
        <f>$N$4 + 14 + 5 + 20 + 12 + $M$4*9/100</f>
        <v>78.91</v>
      </c>
      <c r="AA15">
        <f>(X15*(100-$F$4)/100 + Y15*$F$4/100)/100*((1+$I$6/100)*(1+$J$6/100)*1.12*($D$4+$K$4+32)-100)</f>
        <v>189.00785715200001</v>
      </c>
      <c r="AC15">
        <f t="shared" si="0"/>
        <v>737.22979021945105</v>
      </c>
    </row>
    <row r="16" spans="1:30" ht="16.5" customHeight="1" thickBot="1" x14ac:dyDescent="0.35">
      <c r="A16" s="40"/>
      <c r="B16" s="56"/>
      <c r="C16" s="6" t="s">
        <v>17</v>
      </c>
      <c r="D16" s="4"/>
      <c r="E16" s="4"/>
      <c r="F16" s="3" t="str">
        <f>IF(OR(AD3=1, AD3=2, AD3=3, AD3=10, AD3=11, AD3=12), "예감2", IF(OR(AD3=4, AD3=5, AD3=6, AD3=13, AD3=14, AD3=15), "예감1", "X"))</f>
        <v>예감1</v>
      </c>
      <c r="G16" s="3" t="str">
        <f>IF(OR(AD3=1, AD3=2, AD3=3, AD3=10, AD3=11, AD3=12), "한돌1", IF(OR(AD3=4, AD3=5, AD3=6, AD3=13, AD3=14, AD3=15), "한돌2", "한돌3"))</f>
        <v>한돌2</v>
      </c>
      <c r="H16" s="4"/>
      <c r="I16" s="7"/>
      <c r="J16" s="86"/>
      <c r="K16" s="47"/>
      <c r="L16" s="47"/>
      <c r="M16" s="47"/>
      <c r="N16" s="47"/>
      <c r="O16" s="41"/>
      <c r="P16" s="40"/>
      <c r="Q16" s="47"/>
      <c r="R16" s="41"/>
      <c r="T16" t="s">
        <v>25</v>
      </c>
      <c r="U16" t="s">
        <v>22</v>
      </c>
      <c r="V16" t="s">
        <v>27</v>
      </c>
      <c r="W16">
        <f>$B$4</f>
        <v>34.08</v>
      </c>
      <c r="X16">
        <f>MIN($C$4 + $G$4 + $I$4 + $J$4 + 20 + 4, 100)</f>
        <v>91.32</v>
      </c>
      <c r="Y16">
        <f>MIN($C$4 + $G$4 + $I$4 + $J$4 + 20 + 4 + 10, 100)</f>
        <v>100</v>
      </c>
      <c r="Z16">
        <f>$N$4 + 14 + 5 + 20 + 12 + 20 + $M$4*9/100</f>
        <v>98.91</v>
      </c>
      <c r="AA16">
        <f>(X16*(100-$F$4)/100 + Y16*$F$4/100)/100*((1+$I$6/100)*(1+$J$6/100)*1.12*($D$4+$K$4+32)-100)</f>
        <v>178.00726195200005</v>
      </c>
      <c r="AC16">
        <f t="shared" si="0"/>
        <v>741.44127535908797</v>
      </c>
    </row>
    <row r="17" spans="1:29" x14ac:dyDescent="0.3">
      <c r="A17" s="40"/>
      <c r="B17" s="56"/>
      <c r="C17" s="6" t="s">
        <v>18</v>
      </c>
      <c r="D17" s="4"/>
      <c r="E17" s="4"/>
      <c r="F17" s="5" t="s">
        <v>38</v>
      </c>
      <c r="G17" s="4"/>
      <c r="H17" s="4"/>
      <c r="I17" s="7"/>
      <c r="J17" s="86"/>
      <c r="K17" s="47"/>
      <c r="L17" s="76" t="s">
        <v>42</v>
      </c>
      <c r="M17" s="77"/>
      <c r="N17" s="77"/>
      <c r="O17" s="78"/>
      <c r="P17" s="50"/>
      <c r="Q17" s="51"/>
      <c r="R17" s="52"/>
      <c r="T17" t="s">
        <v>25</v>
      </c>
      <c r="U17" t="s">
        <v>22</v>
      </c>
      <c r="V17" t="s">
        <v>28</v>
      </c>
      <c r="W17">
        <f>$B$4 + 8.5</f>
        <v>42.58</v>
      </c>
      <c r="X17">
        <f>MIN($C$4 + $G$4 + $I$4 + $J$4 + 20 + 4 + 7, 100)</f>
        <v>98.32</v>
      </c>
      <c r="Y17">
        <f>MIN($C$4 + $G$4 + $I$4 + $J$4 + 20 + 4 + 7 + 10, 100)</f>
        <v>100</v>
      </c>
      <c r="Z17">
        <f>$N$4 + 14 + 5 + 20 + 12 + 20 + $M$4*9/100</f>
        <v>98.91</v>
      </c>
      <c r="AA17">
        <f>(X17*(100-$F$4)/100 + Y17*$F$4/100)/100*((1+$I$6/100)*(1+$J$6/100)*($D$4+$K$4+32)-100)</f>
        <v>158.19032959999998</v>
      </c>
      <c r="AC17">
        <f t="shared" si="0"/>
        <v>732.24295117317376</v>
      </c>
    </row>
    <row r="18" spans="1:29" x14ac:dyDescent="0.3">
      <c r="A18" s="40"/>
      <c r="B18" s="56"/>
      <c r="C18" s="6" t="s">
        <v>19</v>
      </c>
      <c r="D18" s="3" t="str">
        <f>IF(OR(AD3=1, AD3=2, AD3=4, AD3=5, AD3=7, AD3=8, AD3=10, AD3=11, AD3=13, AD3=14, AD3=16, AD3=17), "회심", "X")</f>
        <v>회심</v>
      </c>
      <c r="E18" s="3" t="str">
        <f>IF(OR(AD3=1, AD3=3, AD3=4, AD3=6, AD3=7, AD3=9, AD3=10, AD3=12, AD3=13, AD3=15, AD3=16, AD3=18), "달인", "X")</f>
        <v>X</v>
      </c>
      <c r="F18" s="3" t="str">
        <f>IF(OR(AD3=2, AD3=3, AD3=5, AD3=6, AD3=8, AD3=9, AD3=11, AD3=12, AD3=14, AD3=15, AD3=17, AD3=18), "분쇄", "X")</f>
        <v>분쇄</v>
      </c>
      <c r="G18" s="4"/>
      <c r="H18" s="4"/>
      <c r="I18" s="7"/>
      <c r="J18" s="86"/>
      <c r="K18" s="47"/>
      <c r="L18" s="79"/>
      <c r="M18" s="80"/>
      <c r="N18" s="80"/>
      <c r="O18" s="81"/>
      <c r="P18" s="50"/>
      <c r="Q18" s="51"/>
      <c r="R18" s="52"/>
      <c r="T18" t="s">
        <v>25</v>
      </c>
      <c r="U18" t="s">
        <v>23</v>
      </c>
      <c r="V18" t="s">
        <v>26</v>
      </c>
      <c r="W18">
        <f>$B$4 + 8.5</f>
        <v>42.58</v>
      </c>
      <c r="X18">
        <f>MIN($C$4 + $G$4 + $I$4 + $J$4 + 20 + 7, 100)</f>
        <v>94.32</v>
      </c>
      <c r="Y18">
        <f>MIN($C$4 + $G$4 + $I$4 + $J$4 + 20 + 7 + 10, 100)</f>
        <v>100</v>
      </c>
      <c r="Z18">
        <f>$N$4 + 14 + 30 + 12 + $M$4*9/100</f>
        <v>83.91</v>
      </c>
      <c r="AA18">
        <f>(X18*(100-$F$4)/100 + Y18*$F$4/100)/100*((1+$I$6/100)*(1+$J$6/100)*1.12*($D$4+$K$4+32)-100)</f>
        <v>182.721802752</v>
      </c>
      <c r="AC18">
        <f t="shared" si="0"/>
        <v>741.34993903766747</v>
      </c>
    </row>
    <row r="19" spans="1:29" ht="17.25" thickBot="1" x14ac:dyDescent="0.35">
      <c r="A19" s="40"/>
      <c r="B19" s="56"/>
      <c r="C19" s="8" t="s">
        <v>20</v>
      </c>
      <c r="D19" s="9" t="str">
        <f>IF(AD3&lt;10, "뭉가2", "X")</f>
        <v>X</v>
      </c>
      <c r="E19" s="10"/>
      <c r="F19" s="10"/>
      <c r="G19" s="9" t="str">
        <f>IF(AD3&lt;10, "X", "입타2")</f>
        <v>입타2</v>
      </c>
      <c r="H19" s="10"/>
      <c r="I19" s="11"/>
      <c r="J19" s="86"/>
      <c r="K19" s="47"/>
      <c r="L19" s="79"/>
      <c r="M19" s="80"/>
      <c r="N19" s="80"/>
      <c r="O19" s="81"/>
      <c r="P19" s="50"/>
      <c r="Q19" s="51"/>
      <c r="R19" s="52"/>
      <c r="T19" t="s">
        <v>25</v>
      </c>
      <c r="U19" t="s">
        <v>23</v>
      </c>
      <c r="V19" t="s">
        <v>27</v>
      </c>
      <c r="W19">
        <f>$B$4</f>
        <v>34.08</v>
      </c>
      <c r="X19">
        <f>MIN($C$4 + $G$4 + $I$4 + $J$4 + 20, 100)</f>
        <v>87.32</v>
      </c>
      <c r="Y19">
        <f>MIN($C$4 + $G$4 + $I$4 + $J$4 + 20 + 10, 100)</f>
        <v>97.32</v>
      </c>
      <c r="Z19">
        <f>$N$4 + 14 + 30 + 12 + 20 + $M$4*9/100</f>
        <v>103.91</v>
      </c>
      <c r="AA19">
        <f>(X19*(100-$F$4)/100 + Y19*$F$4/100)/100*((1+$I$6/100)*(1+$J$6/100)*1.12*($D$4+$K$4+32)-100)</f>
        <v>170.79669760000002</v>
      </c>
      <c r="AC19">
        <f t="shared" si="0"/>
        <v>740.36501697891526</v>
      </c>
    </row>
    <row r="20" spans="1:29" x14ac:dyDescent="0.3">
      <c r="A20" s="40"/>
      <c r="B20" s="57"/>
      <c r="C20" s="57"/>
      <c r="D20" s="57"/>
      <c r="E20" s="57"/>
      <c r="F20" s="57"/>
      <c r="G20" s="57"/>
      <c r="H20" s="57"/>
      <c r="I20" s="57"/>
      <c r="J20" s="57"/>
      <c r="K20" s="47"/>
      <c r="L20" s="79"/>
      <c r="M20" s="80"/>
      <c r="N20" s="80"/>
      <c r="O20" s="81"/>
      <c r="P20" s="50"/>
      <c r="Q20" s="51"/>
      <c r="R20" s="52"/>
      <c r="T20" t="s">
        <v>25</v>
      </c>
      <c r="U20" t="s">
        <v>23</v>
      </c>
      <c r="V20" t="s">
        <v>28</v>
      </c>
      <c r="W20">
        <f>$B$4 + 8.5</f>
        <v>42.58</v>
      </c>
      <c r="X20">
        <f>MIN($C$4 + $G$4 + $I$4 + $J$4 + 20 + 7, 100)</f>
        <v>94.32</v>
      </c>
      <c r="Y20">
        <f>MIN($C$4 + $G$4 + $I$4 + $J$4 + 20 + 7 + 10, 100)</f>
        <v>100</v>
      </c>
      <c r="Z20">
        <f>$N$4 + 14 + 30 + 12 + 20 + $M$4*9/100</f>
        <v>103.91</v>
      </c>
      <c r="AA20">
        <f>(X20*(100-$F$4)/100 + Y20*$F$4/100)/100*((1+$I$6/100)*(1+$J$6/100)*($D$4+$K$4+32)-100)</f>
        <v>152.92920959999998</v>
      </c>
      <c r="AC20">
        <f t="shared" si="0"/>
        <v>735.35342895692395</v>
      </c>
    </row>
    <row r="21" spans="1:29" x14ac:dyDescent="0.3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9"/>
      <c r="M21" s="80"/>
      <c r="N21" s="80"/>
      <c r="O21" s="81"/>
      <c r="P21" s="50"/>
      <c r="Q21" s="51"/>
      <c r="R21" s="52"/>
    </row>
    <row r="22" spans="1:29" x14ac:dyDescent="0.3">
      <c r="A22" s="4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79"/>
      <c r="M22" s="80"/>
      <c r="N22" s="80"/>
      <c r="O22" s="81"/>
      <c r="P22" s="50"/>
      <c r="Q22" s="51"/>
      <c r="R22" s="52"/>
    </row>
    <row r="23" spans="1:29" x14ac:dyDescent="0.3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79"/>
      <c r="M23" s="80"/>
      <c r="N23" s="80"/>
      <c r="O23" s="81"/>
      <c r="P23" s="50"/>
      <c r="Q23" s="51"/>
      <c r="R23" s="52"/>
    </row>
    <row r="24" spans="1:29" x14ac:dyDescent="0.3">
      <c r="A24" s="40"/>
      <c r="B24" s="47"/>
      <c r="C24" s="47"/>
      <c r="D24" s="47"/>
      <c r="E24" s="47"/>
      <c r="F24" s="47"/>
      <c r="G24" s="47"/>
      <c r="H24" s="47"/>
      <c r="I24" s="60" t="str">
        <f>IF(AD3&lt;10, "그런데 뭉가 끼면", "원래 입타에요")</f>
        <v>원래 입타에요</v>
      </c>
      <c r="J24" s="60"/>
      <c r="K24" s="47"/>
      <c r="L24" s="79"/>
      <c r="M24" s="80"/>
      <c r="N24" s="80"/>
      <c r="O24" s="81"/>
      <c r="P24" s="50"/>
      <c r="Q24" s="51"/>
      <c r="R24" s="52"/>
    </row>
    <row r="25" spans="1:29" ht="17.25" thickBot="1" x14ac:dyDescent="0.35">
      <c r="A25" s="40"/>
      <c r="B25" s="47"/>
      <c r="C25" s="47"/>
      <c r="D25" s="47"/>
      <c r="E25" s="60" t="s">
        <v>41</v>
      </c>
      <c r="F25" s="60"/>
      <c r="G25" s="60"/>
      <c r="H25" s="47"/>
      <c r="I25" s="46" t="str">
        <f>IF(AD3&lt;10, (MAX(AC3:AC20)/MAX(AC12:AC20)-1)*100, "")</f>
        <v/>
      </c>
      <c r="J25" s="45" t="str">
        <f>IF(AD3&lt;10, "% 더세요", "")</f>
        <v/>
      </c>
      <c r="K25" s="47"/>
      <c r="L25" s="82"/>
      <c r="M25" s="83"/>
      <c r="N25" s="83"/>
      <c r="O25" s="84"/>
      <c r="P25" s="50"/>
      <c r="Q25" s="51"/>
      <c r="R25" s="52"/>
    </row>
    <row r="26" spans="1:29" ht="17.25" thickBot="1" x14ac:dyDescent="0.35">
      <c r="A26" s="40"/>
      <c r="B26" s="60"/>
      <c r="C26" s="60"/>
      <c r="D26" s="60"/>
      <c r="E26" s="60"/>
      <c r="F26" s="60"/>
      <c r="G26" s="60"/>
      <c r="H26" s="60"/>
      <c r="I26" s="60"/>
      <c r="J26" s="60"/>
      <c r="K26" s="47"/>
      <c r="L26" s="47"/>
      <c r="M26" s="47"/>
      <c r="N26" s="47"/>
      <c r="O26" s="41"/>
      <c r="P26" s="40"/>
      <c r="Q26" s="47"/>
      <c r="R26" s="41"/>
    </row>
    <row r="27" spans="1:29" x14ac:dyDescent="0.3">
      <c r="A27" s="40"/>
      <c r="B27" s="75"/>
      <c r="C27" s="31" t="s">
        <v>15</v>
      </c>
      <c r="D27" s="32"/>
      <c r="E27" s="32"/>
      <c r="F27" s="32"/>
      <c r="G27" s="32"/>
      <c r="H27" s="32"/>
      <c r="I27" s="33"/>
      <c r="J27" s="74"/>
      <c r="K27" s="47"/>
      <c r="L27" s="47"/>
      <c r="M27" s="47"/>
      <c r="N27" s="47"/>
      <c r="O27" s="41"/>
      <c r="P27" s="40"/>
      <c r="Q27" s="47"/>
      <c r="R27" s="41"/>
    </row>
    <row r="28" spans="1:29" x14ac:dyDescent="0.3">
      <c r="A28" s="40"/>
      <c r="B28" s="75"/>
      <c r="C28" s="6" t="s">
        <v>16</v>
      </c>
      <c r="D28" s="5" t="s">
        <v>35</v>
      </c>
      <c r="E28" s="5" t="s">
        <v>36</v>
      </c>
      <c r="F28" s="4"/>
      <c r="G28" s="5" t="s">
        <v>37</v>
      </c>
      <c r="H28" s="4"/>
      <c r="I28" s="7"/>
      <c r="J28" s="74"/>
      <c r="K28" s="47"/>
      <c r="L28" s="47"/>
      <c r="M28" s="47"/>
      <c r="N28" s="47"/>
      <c r="O28" s="41"/>
      <c r="P28" s="40"/>
      <c r="Q28" s="47"/>
      <c r="R28" s="41"/>
    </row>
    <row r="29" spans="1:29" x14ac:dyDescent="0.3">
      <c r="A29" s="40"/>
      <c r="B29" s="75"/>
      <c r="C29" s="6" t="s">
        <v>17</v>
      </c>
      <c r="D29" s="4"/>
      <c r="E29" s="4"/>
      <c r="F29" s="3" t="str">
        <f>IF(OR(AD12=1, AD12=2, AD12=3, AD12=10, AD12=11, AD12=12), "예감2", IF(OR(AD12=4, AD12=5, AD12=6, AD12=13, AD12=14, AD12=15), "예감1", "X"))</f>
        <v>예감1</v>
      </c>
      <c r="G29" s="3" t="str">
        <f>IF(OR(AD12=1, AD12=2, AD12=3, AD12=10, AD12=11, AD12=12), "한돌1", IF(OR(AD12=4, AD12=5, AD12=6, AD12=13, AD12=14, AD12=15), "한돌2", "한돌3"))</f>
        <v>한돌2</v>
      </c>
      <c r="H29" s="4"/>
      <c r="I29" s="7"/>
      <c r="J29" s="74"/>
      <c r="K29" s="47"/>
      <c r="L29" s="47"/>
      <c r="M29" s="47"/>
      <c r="N29" s="47"/>
      <c r="O29" s="41"/>
      <c r="P29" s="40"/>
      <c r="Q29" s="47"/>
      <c r="R29" s="41"/>
    </row>
    <row r="30" spans="1:29" x14ac:dyDescent="0.3">
      <c r="A30" s="40"/>
      <c r="B30" s="75"/>
      <c r="C30" s="6" t="s">
        <v>18</v>
      </c>
      <c r="D30" s="4"/>
      <c r="E30" s="4"/>
      <c r="F30" s="5" t="s">
        <v>38</v>
      </c>
      <c r="G30" s="4"/>
      <c r="H30" s="4"/>
      <c r="I30" s="7"/>
      <c r="J30" s="74"/>
      <c r="K30" s="47"/>
      <c r="L30" s="47"/>
      <c r="M30" s="47"/>
      <c r="N30" s="47"/>
      <c r="O30" s="41"/>
      <c r="P30" s="40"/>
      <c r="Q30" s="47"/>
      <c r="R30" s="41"/>
    </row>
    <row r="31" spans="1:29" x14ac:dyDescent="0.3">
      <c r="A31" s="40"/>
      <c r="B31" s="75"/>
      <c r="C31" s="6" t="s">
        <v>19</v>
      </c>
      <c r="D31" s="3" t="str">
        <f>IF(OR(AD12=1, AD12=2, AD12=4, AD12=5, AD12=7, AD12=8, AD12=10, AD12=11, AD12=13, AD12=14, AD12=16, AD12=17), "회심", "X")</f>
        <v>회심</v>
      </c>
      <c r="E31" s="3" t="str">
        <f>IF(OR(AD12=1, AD12=3, AD12=4, AD12=6, AD12=7, AD12=9, AD12=10, AD12=12, AD12=13, AD12=15, AD12=16, AD12=18), "달인", "X")</f>
        <v>X</v>
      </c>
      <c r="F31" s="3" t="str">
        <f>IF(OR(AD12=2, AD12=3, AD12=5, AD12=6, AD12=8, AD12=9, AD12=11, AD12=12, AD12=14, AD12=15, AD12=17, AD12=18), "분쇄", "X")</f>
        <v>분쇄</v>
      </c>
      <c r="G31" s="4"/>
      <c r="H31" s="4"/>
      <c r="I31" s="7"/>
      <c r="J31" s="74"/>
      <c r="K31" s="47"/>
      <c r="L31" s="47"/>
      <c r="M31" s="47"/>
      <c r="N31" s="47"/>
      <c r="O31" s="41"/>
      <c r="P31" s="40"/>
      <c r="Q31" s="47"/>
      <c r="R31" s="41"/>
    </row>
    <row r="32" spans="1:29" ht="17.25" thickBot="1" x14ac:dyDescent="0.35">
      <c r="A32" s="40"/>
      <c r="B32" s="75"/>
      <c r="C32" s="8" t="s">
        <v>20</v>
      </c>
      <c r="D32" s="9" t="str">
        <f>IF(AD12&lt;10, "뭉가2", "X")</f>
        <v>X</v>
      </c>
      <c r="E32" s="10"/>
      <c r="F32" s="10"/>
      <c r="G32" s="9" t="str">
        <f>IF(AD12&lt;10, "X", "입타2")</f>
        <v>입타2</v>
      </c>
      <c r="H32" s="10"/>
      <c r="I32" s="11"/>
      <c r="J32" s="74"/>
      <c r="K32" s="47"/>
      <c r="L32" s="47"/>
      <c r="M32" s="47"/>
      <c r="N32" s="47"/>
      <c r="O32" s="41"/>
      <c r="P32" s="40"/>
      <c r="Q32" s="47"/>
      <c r="R32" s="41"/>
    </row>
    <row r="33" spans="1:18" x14ac:dyDescent="0.3">
      <c r="A33" s="40"/>
      <c r="B33" s="60"/>
      <c r="C33" s="60"/>
      <c r="D33" s="60"/>
      <c r="E33" s="60"/>
      <c r="F33" s="60"/>
      <c r="G33" s="60"/>
      <c r="H33" s="60"/>
      <c r="I33" s="60"/>
      <c r="J33" s="60"/>
      <c r="K33" s="47"/>
      <c r="L33" s="47"/>
      <c r="M33" s="47"/>
      <c r="N33" s="47"/>
      <c r="O33" s="41"/>
      <c r="P33" s="40"/>
      <c r="Q33" s="47"/>
      <c r="R33" s="41"/>
    </row>
    <row r="34" spans="1:18" x14ac:dyDescent="0.3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1"/>
      <c r="P34" s="40"/>
      <c r="Q34" s="47"/>
      <c r="R34" s="41"/>
    </row>
    <row r="35" spans="1:18" x14ac:dyDescent="0.3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1"/>
      <c r="P35" s="40"/>
      <c r="Q35" s="47"/>
      <c r="R35" s="41"/>
    </row>
    <row r="36" spans="1:18" ht="17.25" thickBo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4"/>
    </row>
  </sheetData>
  <mergeCells count="18">
    <mergeCell ref="L17:O25"/>
    <mergeCell ref="B20:J20"/>
    <mergeCell ref="I24:J24"/>
    <mergeCell ref="E25:G25"/>
    <mergeCell ref="B2:D2"/>
    <mergeCell ref="F2:G2"/>
    <mergeCell ref="I2:K2"/>
    <mergeCell ref="M2:N2"/>
    <mergeCell ref="E8:G9"/>
    <mergeCell ref="E12:G12"/>
    <mergeCell ref="B26:J26"/>
    <mergeCell ref="B27:B32"/>
    <mergeCell ref="J27:J32"/>
    <mergeCell ref="B33:J33"/>
    <mergeCell ref="B13:J13"/>
    <mergeCell ref="B14:B19"/>
    <mergeCell ref="C14:I14"/>
    <mergeCell ref="J14:J1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인파본캐</vt:lpstr>
      <vt:lpstr>인파부캐</vt:lpstr>
      <vt:lpstr>초심</vt:lpstr>
      <vt:lpstr>절제</vt:lpstr>
      <vt:lpstr>블레</vt:lpstr>
      <vt:lpstr>그믐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완 서</dc:creator>
  <cp:lastModifiedBy>완 서</cp:lastModifiedBy>
  <dcterms:created xsi:type="dcterms:W3CDTF">2025-12-15T18:00:17Z</dcterms:created>
  <dcterms:modified xsi:type="dcterms:W3CDTF">2026-03-25T10:28:31Z</dcterms:modified>
</cp:coreProperties>
</file>