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nts\Desktop\Desktop\놀이터\메이플스토리\"/>
    </mc:Choice>
  </mc:AlternateContent>
  <xr:revisionPtr revIDLastSave="0" documentId="13_ncr:1_{8758FBE8-6B81-4802-B7D0-8DC624BA099E}" xr6:coauthVersionLast="47" xr6:coauthVersionMax="47" xr10:uidLastSave="{00000000-0000-0000-0000-000000000000}"/>
  <bookViews>
    <workbookView xWindow="3120" yWindow="3120" windowWidth="18555" windowHeight="10665" xr2:uid="{6E82058A-B3A9-4D16-B73C-502020661685}"/>
  </bookViews>
  <sheets>
    <sheet name="메인" sheetId="1" r:id="rId1"/>
    <sheet name="강화효율" sheetId="5" r:id="rId2"/>
    <sheet name="장비" sheetId="6" state="hidden" r:id="rId3"/>
    <sheet name="레벨" sheetId="2" state="hidden" r:id="rId4"/>
    <sheet name="결정" sheetId="3" state="hidden" r:id="rId5"/>
    <sheet name="쿨감" sheetId="4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4" l="1"/>
  <c r="L8" i="1"/>
  <c r="M8" i="1" s="1"/>
  <c r="L9" i="1"/>
  <c r="P9" i="1" s="1"/>
  <c r="L10" i="1"/>
  <c r="O10" i="1" s="1"/>
  <c r="L11" i="1"/>
  <c r="N11" i="1" s="1"/>
  <c r="L12" i="1"/>
  <c r="M12" i="1" s="1"/>
  <c r="L13" i="1"/>
  <c r="M13" i="1" s="1"/>
  <c r="L14" i="1"/>
  <c r="M14" i="1" s="1"/>
  <c r="L15" i="1"/>
  <c r="N15" i="1" s="1"/>
  <c r="L16" i="1"/>
  <c r="M16" i="1" s="1"/>
  <c r="L17" i="1"/>
  <c r="M17" i="1" s="1"/>
  <c r="L18" i="1"/>
  <c r="N18" i="1" s="1"/>
  <c r="L19" i="1"/>
  <c r="M19" i="1" s="1"/>
  <c r="L20" i="1"/>
  <c r="M20" i="1" s="1"/>
  <c r="L21" i="1"/>
  <c r="M21" i="1" s="1"/>
  <c r="L22" i="1"/>
  <c r="N22" i="1" s="1"/>
  <c r="L23" i="1"/>
  <c r="M23" i="1" s="1"/>
  <c r="L24" i="1"/>
  <c r="M24" i="1" s="1"/>
  <c r="L25" i="1"/>
  <c r="O25" i="1" s="1"/>
  <c r="L26" i="1"/>
  <c r="M26" i="1" s="1"/>
  <c r="L27" i="1"/>
  <c r="N27" i="1" s="1"/>
  <c r="L28" i="1"/>
  <c r="O28" i="1" s="1"/>
  <c r="L29" i="1"/>
  <c r="P29" i="1" s="1"/>
  <c r="L30" i="1"/>
  <c r="M30" i="1" s="1"/>
  <c r="L31" i="1"/>
  <c r="N31" i="1" s="1"/>
  <c r="K2" i="5"/>
  <c r="M2" i="5"/>
  <c r="N5" i="5" s="1"/>
  <c r="N6" i="5" s="1"/>
  <c r="N7" i="5" s="1"/>
  <c r="N8" i="5" s="1"/>
  <c r="E2" i="5"/>
  <c r="F5" i="5" s="1"/>
  <c r="O2" i="6"/>
  <c r="O3" i="6" s="1"/>
  <c r="O4" i="6" s="1"/>
  <c r="O5" i="6" s="1"/>
  <c r="O6" i="6" s="1"/>
  <c r="O7" i="6" s="1"/>
  <c r="O8" i="6" s="1"/>
  <c r="O9" i="6" s="1"/>
  <c r="O10" i="6" s="1"/>
  <c r="O11" i="6" s="1"/>
  <c r="O12" i="6" s="1"/>
  <c r="O13" i="6" s="1"/>
  <c r="O14" i="6" s="1"/>
  <c r="P2" i="6"/>
  <c r="P3" i="6" s="1"/>
  <c r="P4" i="6" s="1"/>
  <c r="P5" i="6" s="1"/>
  <c r="P6" i="6" s="1"/>
  <c r="P7" i="6" s="1"/>
  <c r="P8" i="6" s="1"/>
  <c r="P9" i="6" s="1"/>
  <c r="P10" i="6" s="1"/>
  <c r="P11" i="6" s="1"/>
  <c r="P12" i="6" s="1"/>
  <c r="P13" i="6" s="1"/>
  <c r="P14" i="6" s="1"/>
  <c r="Q2" i="6"/>
  <c r="Q3" i="6"/>
  <c r="Q4" i="6"/>
  <c r="Q5" i="6"/>
  <c r="Q6" i="6" s="1"/>
  <c r="Q7" i="6" s="1"/>
  <c r="Q8" i="6" s="1"/>
  <c r="Q9" i="6" s="1"/>
  <c r="Q10" i="6" s="1"/>
  <c r="Q11" i="6" s="1"/>
  <c r="Q12" i="6" s="1"/>
  <c r="Q13" i="6" s="1"/>
  <c r="Q14" i="6" s="1"/>
  <c r="N4" i="6"/>
  <c r="N5" i="6"/>
  <c r="N6" i="6"/>
  <c r="N7" i="6" s="1"/>
  <c r="N8" i="6" s="1"/>
  <c r="N9" i="6" s="1"/>
  <c r="N10" i="6" s="1"/>
  <c r="N11" i="6" s="1"/>
  <c r="N12" i="6" s="1"/>
  <c r="N13" i="6" s="1"/>
  <c r="N14" i="6" s="1"/>
  <c r="N3" i="6"/>
  <c r="N2" i="6"/>
  <c r="C2" i="5"/>
  <c r="E2" i="6"/>
  <c r="C2" i="6"/>
  <c r="D2" i="6"/>
  <c r="L4" i="1"/>
  <c r="F2" i="5" s="1"/>
  <c r="L5" i="1"/>
  <c r="P5" i="1" s="1" a="1"/>
  <c r="P5" i="1" s="1"/>
  <c r="F8" i="4"/>
  <c r="F9" i="4"/>
  <c r="F10" i="4"/>
  <c r="B7" i="4"/>
  <c r="F7" i="4" s="1"/>
  <c r="B5" i="4"/>
  <c r="F5" i="4" s="1"/>
  <c r="B6" i="4"/>
  <c r="F6" i="4" s="1"/>
  <c r="B10" i="4"/>
  <c r="B9" i="4"/>
  <c r="B8" i="4"/>
  <c r="B4" i="4"/>
  <c r="F4" i="4" s="1"/>
  <c r="B3" i="4"/>
  <c r="F3" i="4" s="1"/>
  <c r="Q2" i="1" a="1"/>
  <c r="Q2" i="1" s="1"/>
  <c r="M2" i="1" a="1"/>
  <c r="M2" i="1" s="1"/>
  <c r="G8" i="4" l="1"/>
  <c r="G6" i="4"/>
  <c r="B25" i="5" a="1"/>
  <c r="B25" i="5" s="1"/>
  <c r="Q27" i="1"/>
  <c r="P27" i="1"/>
  <c r="O27" i="1"/>
  <c r="R27" i="1"/>
  <c r="M27" i="1"/>
  <c r="J5" i="5"/>
  <c r="N2" i="5"/>
  <c r="J25" i="5" s="1" a="1"/>
  <c r="J25" i="5" s="1"/>
  <c r="J6" i="5"/>
  <c r="G1" i="5" a="1"/>
  <c r="G1" i="5" s="1"/>
  <c r="B40" i="5" s="1" a="1"/>
  <c r="B40" i="5" s="1"/>
  <c r="G2" i="5"/>
  <c r="B5" i="5"/>
  <c r="C9" i="5"/>
  <c r="C7" i="5"/>
  <c r="C6" i="5"/>
  <c r="C5" i="5"/>
  <c r="C16" i="5"/>
  <c r="C15" i="5"/>
  <c r="C14" i="5"/>
  <c r="C13" i="5"/>
  <c r="C12" i="5"/>
  <c r="C11" i="5"/>
  <c r="C10" i="5"/>
  <c r="C8" i="5"/>
  <c r="F6" i="5"/>
  <c r="B6" i="5" s="1"/>
  <c r="M31" i="1"/>
  <c r="P30" i="1"/>
  <c r="R30" i="1"/>
  <c r="O30" i="1"/>
  <c r="Q30" i="1"/>
  <c r="R28" i="1"/>
  <c r="Q28" i="1"/>
  <c r="O29" i="1"/>
  <c r="M29" i="1"/>
  <c r="N28" i="1"/>
  <c r="P26" i="1"/>
  <c r="P31" i="1"/>
  <c r="R29" i="1"/>
  <c r="M28" i="1"/>
  <c r="O26" i="1"/>
  <c r="N30" i="1"/>
  <c r="P28" i="1"/>
  <c r="R26" i="1"/>
  <c r="R31" i="1"/>
  <c r="Q26" i="1"/>
  <c r="Q31" i="1"/>
  <c r="O31" i="1"/>
  <c r="Q29" i="1"/>
  <c r="N26" i="1"/>
  <c r="N29" i="1"/>
  <c r="G9" i="4"/>
  <c r="R13" i="1"/>
  <c r="P12" i="1"/>
  <c r="P24" i="1"/>
  <c r="P13" i="1"/>
  <c r="R25" i="1"/>
  <c r="Q25" i="1"/>
  <c r="P23" i="1"/>
  <c r="O23" i="1"/>
  <c r="R21" i="1"/>
  <c r="O24" i="1"/>
  <c r="M18" i="1"/>
  <c r="M22" i="1"/>
  <c r="R23" i="1"/>
  <c r="R15" i="1"/>
  <c r="O22" i="1"/>
  <c r="P18" i="1"/>
  <c r="O18" i="1"/>
  <c r="Q23" i="1"/>
  <c r="P14" i="1"/>
  <c r="N23" i="1"/>
  <c r="O13" i="1"/>
  <c r="P22" i="1"/>
  <c r="Q13" i="1"/>
  <c r="P16" i="1"/>
  <c r="R19" i="1"/>
  <c r="R17" i="1"/>
  <c r="Q21" i="1"/>
  <c r="Q19" i="1"/>
  <c r="Q17" i="1"/>
  <c r="Q15" i="1"/>
  <c r="P25" i="1"/>
  <c r="P21" i="1"/>
  <c r="P19" i="1"/>
  <c r="P17" i="1"/>
  <c r="P15" i="1"/>
  <c r="O21" i="1"/>
  <c r="O19" i="1"/>
  <c r="O17" i="1"/>
  <c r="O15" i="1"/>
  <c r="N25" i="1"/>
  <c r="N21" i="1"/>
  <c r="N19" i="1"/>
  <c r="N17" i="1"/>
  <c r="N13" i="1"/>
  <c r="M25" i="1"/>
  <c r="M15" i="1"/>
  <c r="R24" i="1"/>
  <c r="R22" i="1"/>
  <c r="R20" i="1"/>
  <c r="R18" i="1"/>
  <c r="R16" i="1"/>
  <c r="R14" i="1"/>
  <c r="R12" i="1"/>
  <c r="P20" i="1"/>
  <c r="Q24" i="1"/>
  <c r="Q22" i="1"/>
  <c r="Q20" i="1"/>
  <c r="Q18" i="1"/>
  <c r="Q16" i="1"/>
  <c r="Q14" i="1"/>
  <c r="Q12" i="1"/>
  <c r="O20" i="1"/>
  <c r="O16" i="1"/>
  <c r="O14" i="1"/>
  <c r="O12" i="1"/>
  <c r="N24" i="1"/>
  <c r="N20" i="1"/>
  <c r="N16" i="1"/>
  <c r="N14" i="1"/>
  <c r="N12" i="1"/>
  <c r="R8" i="1"/>
  <c r="Q8" i="1"/>
  <c r="P8" i="1"/>
  <c r="O8" i="1"/>
  <c r="N8" i="1"/>
  <c r="O11" i="1"/>
  <c r="R11" i="1"/>
  <c r="Q11" i="1"/>
  <c r="P11" i="1"/>
  <c r="M11" i="1"/>
  <c r="P10" i="1"/>
  <c r="N10" i="1"/>
  <c r="Q10" i="1"/>
  <c r="M10" i="1"/>
  <c r="R10" i="1"/>
  <c r="N9" i="1"/>
  <c r="Q9" i="1"/>
  <c r="M9" i="1"/>
  <c r="R9" i="1"/>
  <c r="O9" i="1"/>
  <c r="M4" i="1" a="1"/>
  <c r="M4" i="1" s="1"/>
  <c r="F3" i="2"/>
  <c r="F4" i="2" s="1"/>
  <c r="F5" i="2" s="1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E3" i="2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O2" i="5" l="1"/>
  <c r="K16" i="5"/>
  <c r="K5" i="5"/>
  <c r="O1" i="5" a="1"/>
  <c r="O1" i="5" s="1"/>
  <c r="J40" i="5" s="1" a="1"/>
  <c r="J40" i="5" s="1"/>
  <c r="K6" i="5"/>
  <c r="K7" i="5"/>
  <c r="K9" i="5"/>
  <c r="K10" i="5"/>
  <c r="K11" i="5"/>
  <c r="K12" i="5"/>
  <c r="K13" i="5"/>
  <c r="K14" i="5"/>
  <c r="K15" i="5"/>
  <c r="K8" i="5"/>
  <c r="J7" i="5"/>
  <c r="C26" i="5"/>
  <c r="C28" i="5"/>
  <c r="C31" i="5"/>
  <c r="C34" i="5"/>
  <c r="C37" i="5"/>
  <c r="E37" i="5"/>
  <c r="F28" i="5"/>
  <c r="F31" i="5"/>
  <c r="F34" i="5"/>
  <c r="F37" i="5"/>
  <c r="D38" i="5"/>
  <c r="E29" i="5"/>
  <c r="E32" i="5"/>
  <c r="E35" i="5"/>
  <c r="E38" i="5"/>
  <c r="C36" i="5"/>
  <c r="F26" i="5"/>
  <c r="D27" i="5"/>
  <c r="D30" i="5"/>
  <c r="D33" i="5"/>
  <c r="F7" i="5"/>
  <c r="B7" i="5" s="1"/>
  <c r="M33" i="1"/>
  <c r="O33" i="1"/>
  <c r="G3" i="1" s="1"/>
  <c r="N33" i="1"/>
  <c r="Q33" i="1"/>
  <c r="J3" i="1" s="1"/>
  <c r="P33" i="1"/>
  <c r="J2" i="1" s="1"/>
  <c r="J41" i="5" s="1"/>
  <c r="R33" i="1"/>
  <c r="J4" i="1" s="1"/>
  <c r="L35" i="1" s="1" a="1"/>
  <c r="L35" i="1" s="1"/>
  <c r="K27" i="5" l="1"/>
  <c r="K30" i="5"/>
  <c r="K33" i="5"/>
  <c r="K36" i="5"/>
  <c r="N26" i="5"/>
  <c r="L38" i="5"/>
  <c r="M29" i="5"/>
  <c r="M35" i="5"/>
  <c r="N29" i="5"/>
  <c r="N35" i="5"/>
  <c r="N38" i="5"/>
  <c r="L27" i="5"/>
  <c r="L30" i="5"/>
  <c r="L33" i="5"/>
  <c r="L36" i="5"/>
  <c r="M26" i="5"/>
  <c r="M27" i="5"/>
  <c r="M30" i="5"/>
  <c r="M33" i="5"/>
  <c r="M36" i="5"/>
  <c r="L26" i="5"/>
  <c r="N27" i="5"/>
  <c r="N30" i="5"/>
  <c r="N33" i="5"/>
  <c r="N36" i="5"/>
  <c r="K26" i="5"/>
  <c r="N28" i="5"/>
  <c r="N37" i="5"/>
  <c r="K28" i="5"/>
  <c r="K31" i="5"/>
  <c r="K34" i="5"/>
  <c r="K37" i="5"/>
  <c r="L28" i="5"/>
  <c r="L31" i="5"/>
  <c r="L34" i="5"/>
  <c r="L37" i="5"/>
  <c r="M28" i="5"/>
  <c r="M31" i="5"/>
  <c r="M34" i="5"/>
  <c r="M37" i="5"/>
  <c r="N31" i="5"/>
  <c r="N34" i="5"/>
  <c r="K29" i="5"/>
  <c r="K32" i="5"/>
  <c r="K35" i="5"/>
  <c r="K38" i="5"/>
  <c r="L29" i="5"/>
  <c r="L32" i="5"/>
  <c r="L35" i="5"/>
  <c r="M32" i="5"/>
  <c r="M38" i="5"/>
  <c r="N32" i="5"/>
  <c r="O10" i="5"/>
  <c r="O11" i="5"/>
  <c r="O12" i="5"/>
  <c r="M12" i="5" s="1"/>
  <c r="O13" i="5"/>
  <c r="O4" i="5"/>
  <c r="M7" i="5" s="1"/>
  <c r="O5" i="5"/>
  <c r="O6" i="5"/>
  <c r="O8" i="5"/>
  <c r="O14" i="5"/>
  <c r="O15" i="5"/>
  <c r="M15" i="5" s="1"/>
  <c r="O16" i="5"/>
  <c r="M16" i="5" s="1"/>
  <c r="O7" i="5"/>
  <c r="O9" i="5"/>
  <c r="D26" i="5"/>
  <c r="C33" i="5"/>
  <c r="D35" i="5"/>
  <c r="E34" i="5"/>
  <c r="F36" i="5"/>
  <c r="E36" i="5"/>
  <c r="C30" i="5"/>
  <c r="D32" i="5"/>
  <c r="E31" i="5"/>
  <c r="F33" i="5"/>
  <c r="E33" i="5"/>
  <c r="C27" i="5"/>
  <c r="D29" i="5"/>
  <c r="E28" i="5"/>
  <c r="F30" i="5"/>
  <c r="E30" i="5"/>
  <c r="F38" i="5"/>
  <c r="C38" i="5"/>
  <c r="D37" i="5"/>
  <c r="F27" i="5"/>
  <c r="E27" i="5"/>
  <c r="F35" i="5"/>
  <c r="C35" i="5"/>
  <c r="D34" i="5"/>
  <c r="E26" i="5"/>
  <c r="F32" i="5"/>
  <c r="C32" i="5"/>
  <c r="D31" i="5"/>
  <c r="D36" i="5"/>
  <c r="F29" i="5"/>
  <c r="C29" i="5"/>
  <c r="D28" i="5"/>
  <c r="J8" i="5"/>
  <c r="G4" i="5"/>
  <c r="G16" i="5"/>
  <c r="E16" i="5" s="1"/>
  <c r="G6" i="5"/>
  <c r="G5" i="5"/>
  <c r="E5" i="5" s="1"/>
  <c r="G7" i="5"/>
  <c r="E7" i="5" s="1"/>
  <c r="G8" i="5"/>
  <c r="E8" i="5" s="1"/>
  <c r="G9" i="5"/>
  <c r="E9" i="5" s="1"/>
  <c r="G10" i="5"/>
  <c r="G11" i="5"/>
  <c r="G12" i="5"/>
  <c r="G13" i="5"/>
  <c r="G14" i="5"/>
  <c r="G15" i="5"/>
  <c r="E15" i="5" s="1"/>
  <c r="F8" i="5"/>
  <c r="B8" i="5" s="1"/>
  <c r="D9" i="4"/>
  <c r="D7" i="4"/>
  <c r="D6" i="4"/>
  <c r="D4" i="4"/>
  <c r="D10" i="4"/>
  <c r="D8" i="4"/>
  <c r="D5" i="4"/>
  <c r="G2" i="1"/>
  <c r="G8" i="1" s="1"/>
  <c r="M11" i="5" l="1"/>
  <c r="E6" i="5"/>
  <c r="M9" i="5"/>
  <c r="M10" i="5"/>
  <c r="E14" i="5"/>
  <c r="E13" i="5"/>
  <c r="M13" i="5"/>
  <c r="M14" i="5"/>
  <c r="E12" i="5"/>
  <c r="M8" i="5"/>
  <c r="E11" i="5"/>
  <c r="M6" i="5"/>
  <c r="E10" i="5"/>
  <c r="M5" i="5"/>
  <c r="G10" i="1"/>
  <c r="I22" i="1" s="1" a="1"/>
  <c r="I22" i="1" s="1"/>
  <c r="C40" i="5"/>
  <c r="C41" i="5" s="1"/>
  <c r="F40" i="5"/>
  <c r="F41" i="5" s="1"/>
  <c r="E40" i="5"/>
  <c r="E41" i="5" s="1"/>
  <c r="C21" i="5" s="1" a="1"/>
  <c r="C21" i="5" s="1"/>
  <c r="M40" i="5"/>
  <c r="M41" i="5" s="1"/>
  <c r="N21" i="5" s="1"/>
  <c r="O21" i="5" s="1"/>
  <c r="K40" i="5"/>
  <c r="K41" i="5" s="1"/>
  <c r="N19" i="5" s="1"/>
  <c r="O19" i="5" s="1"/>
  <c r="L40" i="5"/>
  <c r="L41" i="5" s="1"/>
  <c r="N20" i="5" s="1"/>
  <c r="O20" i="5" s="1"/>
  <c r="D40" i="5"/>
  <c r="D41" i="5" s="1"/>
  <c r="C20" i="5" s="1" a="1"/>
  <c r="C20" i="5" s="1"/>
  <c r="N40" i="5"/>
  <c r="N41" i="5" s="1"/>
  <c r="N22" i="5" s="1"/>
  <c r="O22" i="5" s="1"/>
  <c r="N9" i="5"/>
  <c r="J9" i="5" s="1"/>
  <c r="F9" i="5"/>
  <c r="B9" i="5" s="1"/>
  <c r="G4" i="4"/>
  <c r="G5" i="4" s="1"/>
  <c r="L22" i="5" l="1"/>
  <c r="L20" i="5"/>
  <c r="L21" i="5"/>
  <c r="L19" i="5"/>
  <c r="L5" i="5"/>
  <c r="D16" i="5"/>
  <c r="L6" i="5"/>
  <c r="D15" i="5"/>
  <c r="L7" i="5"/>
  <c r="D14" i="5"/>
  <c r="L8" i="5"/>
  <c r="D13" i="5"/>
  <c r="L9" i="5"/>
  <c r="D12" i="5"/>
  <c r="L10" i="5"/>
  <c r="D11" i="5"/>
  <c r="L11" i="5"/>
  <c r="D10" i="5"/>
  <c r="L12" i="5"/>
  <c r="D9" i="5"/>
  <c r="L13" i="5"/>
  <c r="D8" i="5"/>
  <c r="L14" i="5"/>
  <c r="D7" i="5"/>
  <c r="L15" i="5"/>
  <c r="D6" i="5"/>
  <c r="L16" i="5"/>
  <c r="D5" i="5"/>
  <c r="F19" i="5"/>
  <c r="G19" i="5" s="1"/>
  <c r="D19" i="5" s="1"/>
  <c r="C19" i="5" a="1"/>
  <c r="C19" i="5" s="1"/>
  <c r="F22" i="5"/>
  <c r="G22" i="5" s="1"/>
  <c r="D22" i="5" s="1"/>
  <c r="C22" i="5" a="1"/>
  <c r="C22" i="5" s="1"/>
  <c r="B19" i="5"/>
  <c r="K22" i="5" a="1"/>
  <c r="K22" i="5" s="1"/>
  <c r="M22" i="5" s="1"/>
  <c r="J22" i="5"/>
  <c r="J21" i="5"/>
  <c r="K21" i="5" a="1"/>
  <c r="K21" i="5" s="1"/>
  <c r="M21" i="5" s="1"/>
  <c r="K20" i="5" a="1"/>
  <c r="K20" i="5" s="1"/>
  <c r="M20" i="5" s="1"/>
  <c r="J20" i="5"/>
  <c r="K19" i="5" a="1"/>
  <c r="K19" i="5" s="1"/>
  <c r="M19" i="5" s="1"/>
  <c r="J19" i="5"/>
  <c r="F21" i="5"/>
  <c r="G21" i="5" s="1"/>
  <c r="D21" i="5" s="1"/>
  <c r="B21" i="5"/>
  <c r="B20" i="5"/>
  <c r="B22" i="5"/>
  <c r="F20" i="5"/>
  <c r="G20" i="5" s="1"/>
  <c r="D20" i="5" s="1"/>
  <c r="N10" i="5"/>
  <c r="J10" i="5" s="1"/>
  <c r="F10" i="5"/>
  <c r="B10" i="5" s="1"/>
  <c r="G3" i="4"/>
  <c r="F11" i="4" s="1"/>
  <c r="E22" i="5" l="1"/>
  <c r="E19" i="5"/>
  <c r="E21" i="5"/>
  <c r="E20" i="5"/>
  <c r="N11" i="5"/>
  <c r="J11" i="5" s="1"/>
  <c r="F11" i="5"/>
  <c r="B11" i="5" s="1"/>
  <c r="G13" i="1"/>
  <c r="I17" i="1" l="1"/>
  <c r="I19" i="1"/>
  <c r="N12" i="5"/>
  <c r="J12" i="5" s="1"/>
  <c r="F12" i="5"/>
  <c r="B12" i="5" s="1"/>
  <c r="I21" i="1"/>
  <c r="I20" i="1"/>
  <c r="I18" i="1"/>
  <c r="N13" i="5" l="1"/>
  <c r="J13" i="5" s="1"/>
  <c r="F13" i="5"/>
  <c r="B13" i="5" s="1"/>
  <c r="N14" i="5" l="1"/>
  <c r="J14" i="5" s="1"/>
  <c r="F14" i="5"/>
  <c r="B14" i="5" s="1"/>
  <c r="N15" i="5" l="1"/>
  <c r="J15" i="5" s="1"/>
  <c r="F15" i="5"/>
  <c r="B15" i="5" s="1"/>
  <c r="N16" i="5" l="1"/>
  <c r="J16" i="5" s="1"/>
  <c r="F16" i="5"/>
  <c r="B1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<sst xmlns="http://schemas.openxmlformats.org/spreadsheetml/2006/main" count="134" uniqueCount="79">
  <si>
    <t>마력</t>
    <phoneticPr fontId="2" type="noConversion"/>
  </si>
  <si>
    <t>마력%</t>
    <phoneticPr fontId="2" type="noConversion"/>
  </si>
  <si>
    <t>숙련도</t>
    <phoneticPr fontId="2" type="noConversion"/>
  </si>
  <si>
    <t>크확</t>
    <phoneticPr fontId="2" type="noConversion"/>
  </si>
  <si>
    <t>크뎀</t>
    <phoneticPr fontId="2" type="noConversion"/>
  </si>
  <si>
    <t>전투력</t>
    <phoneticPr fontId="2" type="noConversion"/>
  </si>
  <si>
    <t>루시드 레벨</t>
    <phoneticPr fontId="2" type="noConversion"/>
  </si>
  <si>
    <t>레벨</t>
    <phoneticPr fontId="2" type="noConversion"/>
  </si>
  <si>
    <t>누적 마력</t>
    <phoneticPr fontId="2" type="noConversion"/>
  </si>
  <si>
    <t>누적 크뎀</t>
    <phoneticPr fontId="2" type="noConversion"/>
  </si>
  <si>
    <t>몽환의 결정</t>
    <phoneticPr fontId="2" type="noConversion"/>
  </si>
  <si>
    <t>몽환의 전령</t>
    <phoneticPr fontId="2" type="noConversion"/>
  </si>
  <si>
    <t>몽환의 근원</t>
    <phoneticPr fontId="2" type="noConversion"/>
  </si>
  <si>
    <t>[전령]</t>
    <phoneticPr fontId="2" type="noConversion"/>
  </si>
  <si>
    <t>[근원]</t>
    <phoneticPr fontId="2" type="noConversion"/>
  </si>
  <si>
    <t>[경계]</t>
    <phoneticPr fontId="2" type="noConversion"/>
  </si>
  <si>
    <t>능력치</t>
    <phoneticPr fontId="2" type="noConversion"/>
  </si>
  <si>
    <t>크리티컬 확률</t>
    <phoneticPr fontId="2" type="noConversion"/>
  </si>
  <si>
    <t>마력 %</t>
    <phoneticPr fontId="2" type="noConversion"/>
  </si>
  <si>
    <t>크리티컬 데미지</t>
    <phoneticPr fontId="2" type="noConversion"/>
  </si>
  <si>
    <t>스킬 재사용 대기시간 감소</t>
    <phoneticPr fontId="2" type="noConversion"/>
  </si>
  <si>
    <t>최소</t>
    <phoneticPr fontId="2" type="noConversion"/>
  </si>
  <si>
    <t>최대</t>
    <phoneticPr fontId="2" type="noConversion"/>
  </si>
  <si>
    <t>형식</t>
    <phoneticPr fontId="2" type="noConversion"/>
  </si>
  <si>
    <t>%</t>
    <phoneticPr fontId="2" type="noConversion"/>
  </si>
  <si>
    <t>초</t>
    <phoneticPr fontId="2" type="noConversion"/>
  </si>
  <si>
    <t>등급</t>
    <phoneticPr fontId="2" type="noConversion"/>
  </si>
  <si>
    <t>노멀</t>
    <phoneticPr fontId="2" type="noConversion"/>
  </si>
  <si>
    <t>에픽</t>
    <phoneticPr fontId="2" type="noConversion"/>
  </si>
  <si>
    <t>유니크</t>
    <phoneticPr fontId="2" type="noConversion"/>
  </si>
  <si>
    <t>레전드리</t>
    <phoneticPr fontId="2" type="noConversion"/>
  </si>
  <si>
    <t>쿨감</t>
    <phoneticPr fontId="2" type="noConversion"/>
  </si>
  <si>
    <t>도합</t>
    <phoneticPr fontId="2" type="noConversion"/>
  </si>
  <si>
    <t>레어</t>
    <phoneticPr fontId="2" type="noConversion"/>
  </si>
  <si>
    <t>전령</t>
    <phoneticPr fontId="2" type="noConversion"/>
  </si>
  <si>
    <t>전령 증가</t>
    <phoneticPr fontId="2" type="noConversion"/>
  </si>
  <si>
    <t>근원</t>
    <phoneticPr fontId="2" type="noConversion"/>
  </si>
  <si>
    <t>근원 증가</t>
    <phoneticPr fontId="2" type="noConversion"/>
  </si>
  <si>
    <t>환산 전투력</t>
    <phoneticPr fontId="2" type="noConversion"/>
  </si>
  <si>
    <t>DPM</t>
    <phoneticPr fontId="2" type="noConversion"/>
  </si>
  <si>
    <t>재사용 대기시간 감소</t>
    <phoneticPr fontId="2" type="noConversion"/>
  </si>
  <si>
    <t>스킬</t>
    <phoneticPr fontId="2" type="noConversion"/>
  </si>
  <si>
    <t>드림 더스트</t>
    <phoneticPr fontId="2" type="noConversion"/>
  </si>
  <si>
    <t>렌드 레버리</t>
    <phoneticPr fontId="2" type="noConversion"/>
  </si>
  <si>
    <t>페어리 더스트</t>
    <phoneticPr fontId="2" type="noConversion"/>
  </si>
  <si>
    <t>일루전 드래곤</t>
    <phoneticPr fontId="2" type="noConversion"/>
  </si>
  <si>
    <t>사이키스 세레니티</t>
    <phoneticPr fontId="2" type="noConversion"/>
  </si>
  <si>
    <t>가든 오브 이터널 드림</t>
    <phoneticPr fontId="2" type="noConversion"/>
  </si>
  <si>
    <t>엘리멘탈 판타즘</t>
    <phoneticPr fontId="2" type="noConversion"/>
  </si>
  <si>
    <t>퍼뎀</t>
    <phoneticPr fontId="2" type="noConversion"/>
  </si>
  <si>
    <t>판타즈멀 왈츠</t>
    <phoneticPr fontId="2" type="noConversion"/>
  </si>
  <si>
    <t>쿨타임</t>
    <phoneticPr fontId="2" type="noConversion"/>
  </si>
  <si>
    <t>딜레이</t>
    <phoneticPr fontId="2" type="noConversion"/>
  </si>
  <si>
    <t>피니스 솜니아</t>
    <phoneticPr fontId="2" type="noConversion"/>
  </si>
  <si>
    <t>나비</t>
    <phoneticPr fontId="2" type="noConversion"/>
  </si>
  <si>
    <t>사용 횟수</t>
    <phoneticPr fontId="2" type="noConversion"/>
  </si>
  <si>
    <t>데미지 총합</t>
    <phoneticPr fontId="2" type="noConversion"/>
  </si>
  <si>
    <t>스탯</t>
    <phoneticPr fontId="2" type="noConversion"/>
  </si>
  <si>
    <t>계수</t>
    <phoneticPr fontId="2" type="noConversion"/>
  </si>
  <si>
    <t>환산 전투력 증가량</t>
    <phoneticPr fontId="2" type="noConversion"/>
  </si>
  <si>
    <t>강화 단계</t>
    <phoneticPr fontId="2" type="noConversion"/>
  </si>
  <si>
    <t>비용</t>
    <phoneticPr fontId="2" type="noConversion"/>
  </si>
  <si>
    <t>확률</t>
    <phoneticPr fontId="2" type="noConversion"/>
  </si>
  <si>
    <t>기댓값</t>
    <phoneticPr fontId="2" type="noConversion"/>
  </si>
  <si>
    <t>누적기댓값</t>
    <phoneticPr fontId="2" type="noConversion"/>
  </si>
  <si>
    <t>분해</t>
    <phoneticPr fontId="2" type="noConversion"/>
  </si>
  <si>
    <t>및 레벨 미달에 따른 스킬 부재를 보정한 것입니다.</t>
    <phoneticPr fontId="2" type="noConversion"/>
  </si>
  <si>
    <t>환산 전투력은 재사용 대기시간 감소에 따른 스킬 주기 변화</t>
    <phoneticPr fontId="2" type="noConversion"/>
  </si>
  <si>
    <t>1000파편 당 최종뎀(%)</t>
    <phoneticPr fontId="2" type="noConversion"/>
  </si>
  <si>
    <t>제작</t>
    <phoneticPr fontId="2" type="noConversion"/>
  </si>
  <si>
    <t>장비 제작은 몽환의 결정 슬롯 증가로 인한 전투력 증가를 고려하지 않습니다.</t>
    <phoneticPr fontId="2" type="noConversion"/>
  </si>
  <si>
    <t>L</t>
    <phoneticPr fontId="2" type="noConversion"/>
  </si>
  <si>
    <t>E</t>
    <phoneticPr fontId="2" type="noConversion"/>
  </si>
  <si>
    <t>U</t>
    <phoneticPr fontId="2" type="noConversion"/>
  </si>
  <si>
    <t>R</t>
    <phoneticPr fontId="2" type="noConversion"/>
  </si>
  <si>
    <t>몽환의 경계</t>
    <phoneticPr fontId="2" type="noConversion"/>
  </si>
  <si>
    <t>전투력은 루시드의 데미지와 관련된 모든 스탯을 반영한</t>
    <phoneticPr fontId="2" type="noConversion"/>
  </si>
  <si>
    <t>수치로, 재사용 대기시간 감소는 반영하지 않습니다.</t>
    <phoneticPr fontId="2" type="noConversion"/>
  </si>
  <si>
    <t>이 색상의 셀을 편집할 수 있습니다.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</si>
</sst>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\★0"/>
    <numFmt numFmtId="177" formatCode="0&quot;%&quot;"/>
    <numFmt numFmtId="178" formatCode="0&quot;초&quot;"/>
    <numFmt numFmtId="179" formatCode="[&lt;10000]0;[&lt;100000000]0&quot;만&quot;\ 0000;0&quot;억&quot;\ 0000&quot;만&quot;\ 0000"/>
    <numFmt numFmtId="180" formatCode="&quot;Lv.&quot;0"/>
    <numFmt numFmtId="181" formatCode="[&lt;10000]0&quot;만&quot;;[&lt;100000000]0&quot;억&quot;\ 0000&quot;만&quot;;0&quot;조&quot;\ 0000&quot;억&quot;\ 0000&quot;만&quot;"/>
    <numFmt numFmtId="182" formatCode="0.0000%"/>
    <numFmt numFmtId="183" formatCode="\-0&quot;초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메이플스토리"/>
      <family val="3"/>
      <charset val="129"/>
    </font>
    <font>
      <b/>
      <sz val="11"/>
      <color theme="1"/>
      <name val="메이플스토리"/>
      <family val="3"/>
      <charset val="129"/>
    </font>
    <font>
      <sz val="16"/>
      <color theme="1"/>
      <name val="메이플스토리"/>
      <family val="3"/>
      <charset val="129"/>
    </font>
    <font>
      <sz val="11"/>
      <color theme="0"/>
      <name val="메이플스토리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6795556505021"/>
      </left>
      <right/>
      <top/>
      <bottom/>
      <diagonal/>
    </border>
    <border>
      <left style="thin">
        <color theme="0" tint="-0.14996795556505021"/>
      </left>
      <right/>
      <top style="thin">
        <color theme="0" tint="-0.24994659260841701"/>
      </top>
      <bottom/>
      <diagonal/>
    </border>
    <border>
      <left style="thin">
        <color theme="0" tint="-0.14996795556505021"/>
      </left>
      <right/>
      <top/>
      <bottom style="thin">
        <color theme="0" tint="-0.24994659260841701"/>
      </bottom>
      <diagonal/>
    </border>
    <border>
      <left style="thin">
        <color theme="0" tint="-0.14996795556505021"/>
      </left>
      <right/>
      <top/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/>
      <diagonal/>
    </border>
    <border>
      <left style="thin">
        <color theme="0" tint="-0.14996795556505021"/>
      </left>
      <right/>
      <top style="thick">
        <color theme="0" tint="-0.24994659260841701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>
      <alignment vertical="center"/>
    </xf>
    <xf numFmtId="0" fontId="4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177" fontId="3" fillId="2" borderId="0" xfId="0" applyNumberFormat="1" applyFont="1" applyFill="1">
      <alignment vertical="center"/>
    </xf>
    <xf numFmtId="178" fontId="3" fillId="2" borderId="0" xfId="0" applyNumberFormat="1" applyFont="1" applyFill="1">
      <alignment vertical="center"/>
    </xf>
    <xf numFmtId="0" fontId="6" fillId="3" borderId="0" xfId="0" applyFont="1" applyFill="1">
      <alignment vertical="center"/>
    </xf>
    <xf numFmtId="3" fontId="3" fillId="5" borderId="2" xfId="0" applyNumberFormat="1" applyFont="1" applyFill="1" applyBorder="1" applyAlignment="1" applyProtection="1">
      <alignment horizontal="center" vertical="center"/>
      <protection locked="0"/>
    </xf>
    <xf numFmtId="3" fontId="3" fillId="5" borderId="3" xfId="0" applyNumberFormat="1" applyFont="1" applyFill="1" applyBorder="1" applyAlignment="1" applyProtection="1">
      <alignment horizontal="center" vertical="center"/>
      <protection locked="0"/>
    </xf>
    <xf numFmtId="3" fontId="3" fillId="5" borderId="1" xfId="0" applyNumberFormat="1" applyFont="1" applyFill="1" applyBorder="1" applyAlignment="1" applyProtection="1">
      <alignment horizontal="center" vertical="center"/>
      <protection locked="0"/>
    </xf>
    <xf numFmtId="3" fontId="3" fillId="5" borderId="4" xfId="0" applyNumberFormat="1" applyFont="1" applyFill="1" applyBorder="1" applyProtection="1">
      <alignment vertical="center"/>
      <protection locked="0"/>
    </xf>
    <xf numFmtId="3" fontId="3" fillId="5" borderId="5" xfId="0" applyNumberFormat="1" applyFont="1" applyFill="1" applyBorder="1" applyProtection="1">
      <alignment vertical="center"/>
      <protection locked="0"/>
    </xf>
    <xf numFmtId="3" fontId="3" fillId="5" borderId="6" xfId="0" applyNumberFormat="1" applyFont="1" applyFill="1" applyBorder="1" applyProtection="1">
      <alignment vertical="center"/>
      <protection locked="0"/>
    </xf>
    <xf numFmtId="3" fontId="3" fillId="5" borderId="7" xfId="0" applyNumberFormat="1" applyFont="1" applyFill="1" applyBorder="1" applyProtection="1">
      <alignment vertical="center"/>
      <protection locked="0"/>
    </xf>
    <xf numFmtId="1" fontId="0" fillId="0" borderId="0" xfId="0" applyNumberFormat="1">
      <alignment vertical="center"/>
    </xf>
    <xf numFmtId="176" fontId="3" fillId="5" borderId="4" xfId="0" applyNumberFormat="1" applyFont="1" applyFill="1" applyBorder="1" applyAlignment="1" applyProtection="1">
      <alignment horizontal="center" vertical="center"/>
      <protection locked="0"/>
    </xf>
    <xf numFmtId="176" fontId="3" fillId="5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0" xfId="0" applyNumberFormat="1" applyFont="1" applyFill="1" applyAlignment="1">
      <alignment horizontal="center" vertical="center"/>
    </xf>
    <xf numFmtId="179" fontId="3" fillId="2" borderId="0" xfId="0" applyNumberFormat="1" applyFont="1" applyFill="1">
      <alignment vertical="center"/>
    </xf>
    <xf numFmtId="182" fontId="3" fillId="2" borderId="0" xfId="1" applyNumberFormat="1" applyFont="1" applyFill="1" applyBorder="1" applyProtection="1">
      <alignment vertical="center"/>
    </xf>
    <xf numFmtId="176" fontId="3" fillId="2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" fontId="6" fillId="3" borderId="0" xfId="0" applyNumberFormat="1" applyFont="1" applyFill="1">
      <alignment vertical="center"/>
    </xf>
    <xf numFmtId="176" fontId="6" fillId="3" borderId="0" xfId="0" applyNumberFormat="1" applyFont="1" applyFill="1">
      <alignment vertical="center"/>
    </xf>
    <xf numFmtId="0" fontId="3" fillId="5" borderId="0" xfId="0" applyFont="1" applyFill="1" applyProtection="1">
      <alignment vertical="center"/>
      <protection locked="0"/>
    </xf>
    <xf numFmtId="177" fontId="3" fillId="5" borderId="0" xfId="0" applyNumberFormat="1" applyFont="1" applyFill="1" applyProtection="1">
      <alignment vertical="center"/>
      <protection locked="0"/>
    </xf>
    <xf numFmtId="3" fontId="3" fillId="5" borderId="0" xfId="0" applyNumberFormat="1" applyFont="1" applyFill="1" applyAlignment="1" applyProtection="1">
      <alignment horizontal="center" vertical="center"/>
      <protection locked="0"/>
    </xf>
    <xf numFmtId="3" fontId="3" fillId="5" borderId="8" xfId="0" applyNumberFormat="1" applyFont="1" applyFill="1" applyBorder="1" applyAlignment="1" applyProtection="1">
      <alignment horizontal="center" vertical="center"/>
      <protection locked="0"/>
    </xf>
    <xf numFmtId="3" fontId="3" fillId="5" borderId="9" xfId="0" applyNumberFormat="1" applyFont="1" applyFill="1" applyBorder="1" applyProtection="1">
      <alignment vertical="center"/>
      <protection locked="0"/>
    </xf>
    <xf numFmtId="183" fontId="0" fillId="0" borderId="0" xfId="0" applyNumberFormat="1">
      <alignment vertical="center"/>
    </xf>
    <xf numFmtId="180" fontId="0" fillId="0" borderId="0" xfId="0" applyNumberFormat="1">
      <alignment vertical="center"/>
    </xf>
    <xf numFmtId="178" fontId="3" fillId="5" borderId="0" xfId="0" applyNumberFormat="1" applyFont="1" applyFill="1" applyProtection="1">
      <alignment vertical="center"/>
      <protection locked="0"/>
    </xf>
    <xf numFmtId="10" fontId="6" fillId="3" borderId="0" xfId="1" applyNumberFormat="1" applyFont="1" applyFill="1">
      <alignment vertical="center"/>
    </xf>
    <xf numFmtId="0" fontId="3" fillId="4" borderId="0" xfId="0" applyFont="1" applyFill="1" applyAlignment="1">
      <alignment horizontal="center" vertical="center"/>
    </xf>
    <xf numFmtId="179" fontId="3" fillId="2" borderId="0" xfId="0" applyNumberFormat="1" applyFont="1" applyFill="1" applyAlignment="1">
      <alignment horizontal="center" vertical="center"/>
    </xf>
    <xf numFmtId="0" fontId="3" fillId="5" borderId="0" xfId="0" applyFont="1" applyFill="1" applyProtection="1">
      <alignment vertical="center"/>
      <protection locked="0"/>
    </xf>
    <xf numFmtId="0" fontId="4" fillId="4" borderId="0" xfId="0" applyFont="1" applyFill="1" applyAlignment="1">
      <alignment horizontal="center" vertical="center"/>
    </xf>
    <xf numFmtId="181" fontId="5" fillId="2" borderId="0" xfId="0" applyNumberFormat="1" applyFont="1" applyFill="1" applyAlignment="1">
      <alignment horizontal="center" vertical="center"/>
    </xf>
    <xf numFmtId="180" fontId="3" fillId="5" borderId="0" xfId="0" applyNumberFormat="1" applyFont="1" applyFill="1" applyAlignment="1" applyProtection="1">
      <alignment horizontal="center" vertical="center"/>
      <protection locked="0"/>
    </xf>
    <xf numFmtId="179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</cellXfs>
  <cellStyles count="2">
    <cellStyle name="백분율" xfId="1" builtinId="5"/>
    <cellStyle name="표준" xfId="0" builtinId="0"/>
  </cellStyles>
  <dxfs count="17">
    <dxf>
      <numFmt numFmtId="184" formatCode=";;"/>
    </dxf>
    <dxf>
      <numFmt numFmtId="185" formatCode=";;;"/>
    </dxf>
    <dxf>
      <numFmt numFmtId="185" formatCode=";;;"/>
    </dxf>
    <dxf>
      <numFmt numFmtId="185" formatCode=";;;"/>
    </dxf>
    <dxf>
      <numFmt numFmtId="184" formatCode=";;"/>
    </dxf>
    <dxf>
      <numFmt numFmtId="185" formatCode=";;;"/>
    </dxf>
    <dxf>
      <numFmt numFmtId="185" formatCode=";;;"/>
    </dxf>
    <dxf>
      <numFmt numFmtId="185" formatCode=";;;"/>
    </dxf>
    <dxf>
      <numFmt numFmtId="177" formatCode="0&quot;%&quot;"/>
      <fill>
        <patternFill>
          <bgColor rgb="FFFF0000"/>
        </patternFill>
      </fill>
    </dxf>
    <dxf>
      <numFmt numFmtId="177" formatCode="0&quot;%&quot;"/>
      <fill>
        <patternFill>
          <bgColor rgb="FFFF0000"/>
        </patternFill>
      </fill>
    </dxf>
    <dxf>
      <numFmt numFmtId="183" formatCode="\-0&quot;초&quot;"/>
    </dxf>
    <dxf>
      <numFmt numFmtId="186" formatCode="\+0&quot;%&quot;"/>
    </dxf>
    <dxf>
      <numFmt numFmtId="187" formatCode="\+0"/>
    </dxf>
    <dxf>
      <fill>
        <patternFill>
          <bgColor rgb="FFFF0000"/>
        </patternFill>
      </fill>
    </dxf>
    <dxf>
      <numFmt numFmtId="184" formatCode=";;"/>
    </dxf>
    <dxf>
      <numFmt numFmtId="184" formatCode=";;"/>
    </dxf>
    <dxf>
      <numFmt numFmtId="185" formatCode=";;;"/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40482-6E6C-4906-ABAB-0AAFE4D15D3A}">
  <dimension ref="B1:R35"/>
  <sheetViews>
    <sheetView tabSelected="1" workbookViewId="0">
      <selection activeCell="C2" sqref="C2:D2"/>
    </sheetView>
  </sheetViews>
  <sheetFormatPr defaultRowHeight="15" customHeight="1" x14ac:dyDescent="0.3"/>
  <cols>
    <col min="1" max="1" width="2.5" style="2" customWidth="1"/>
    <col min="2" max="2" width="10.25" style="1" bestFit="1" customWidth="1"/>
    <col min="3" max="3" width="21.875" style="2" bestFit="1" customWidth="1"/>
    <col min="4" max="4" width="6.5" style="2" bestFit="1" customWidth="1"/>
    <col min="5" max="5" width="2.5" style="2" customWidth="1"/>
    <col min="6" max="6" width="10.25" style="2" bestFit="1" customWidth="1"/>
    <col min="7" max="7" width="7.375" style="2" bestFit="1" customWidth="1"/>
    <col min="8" max="8" width="5.625" style="2" bestFit="1" customWidth="1"/>
    <col min="9" max="9" width="13" style="2" customWidth="1"/>
    <col min="10" max="10" width="6.75" style="2" bestFit="1" customWidth="1"/>
    <col min="11" max="11" width="9" style="2"/>
    <col min="12" max="12" width="9" style="2" customWidth="1"/>
    <col min="13" max="16384" width="9" style="2"/>
  </cols>
  <sheetData>
    <row r="1" spans="2:18" ht="15" customHeight="1" x14ac:dyDescent="0.3">
      <c r="L1" s="8"/>
      <c r="M1" s="8" t="s">
        <v>0</v>
      </c>
      <c r="N1" s="8" t="s">
        <v>1</v>
      </c>
      <c r="O1" s="8" t="s">
        <v>2</v>
      </c>
      <c r="P1" s="8" t="s">
        <v>3</v>
      </c>
      <c r="Q1" s="8" t="s">
        <v>4</v>
      </c>
      <c r="R1" s="8" t="s">
        <v>31</v>
      </c>
    </row>
    <row r="2" spans="2:18" ht="15" customHeight="1" x14ac:dyDescent="0.3">
      <c r="B2" s="3" t="s">
        <v>6</v>
      </c>
      <c r="C2" s="40">
        <v>1</v>
      </c>
      <c r="D2" s="40"/>
      <c r="F2" s="3" t="s">
        <v>0</v>
      </c>
      <c r="G2" s="5">
        <f>_xlfn.FLOOR.MATH(M33*(1+N33/100))</f>
        <v>113</v>
      </c>
      <c r="H2" s="38" t="s">
        <v>17</v>
      </c>
      <c r="I2" s="38"/>
      <c r="J2" s="6">
        <f>P33</f>
        <v>0</v>
      </c>
      <c r="L2" s="8"/>
      <c r="M2" s="8" cm="1">
        <f t="array" ref="M2">INDEX(레벨!E:E,C2+1)</f>
        <v>113</v>
      </c>
      <c r="N2" s="8">
        <v>0</v>
      </c>
      <c r="O2" s="8">
        <v>0</v>
      </c>
      <c r="P2" s="8">
        <v>0</v>
      </c>
      <c r="Q2" s="8" cm="1">
        <f t="array" ref="Q2">INDEX(레벨!F:F,C2+1)</f>
        <v>110</v>
      </c>
      <c r="R2" s="8">
        <v>0</v>
      </c>
    </row>
    <row r="3" spans="2:18" ht="15" customHeight="1" x14ac:dyDescent="0.3">
      <c r="F3" s="3" t="s">
        <v>2</v>
      </c>
      <c r="G3" s="6">
        <f>O33</f>
        <v>0</v>
      </c>
      <c r="H3" s="38" t="s">
        <v>19</v>
      </c>
      <c r="I3" s="38"/>
      <c r="J3" s="6">
        <f>Q33</f>
        <v>110</v>
      </c>
      <c r="L3" s="8"/>
      <c r="M3" s="8"/>
      <c r="N3" s="8"/>
      <c r="O3" s="8"/>
      <c r="P3" s="8"/>
      <c r="Q3" s="8"/>
      <c r="R3" s="8"/>
    </row>
    <row r="4" spans="2:18" ht="15" customHeight="1" x14ac:dyDescent="0.3">
      <c r="B4" s="3" t="s">
        <v>11</v>
      </c>
      <c r="C4" s="28"/>
      <c r="D4" s="17">
        <v>0</v>
      </c>
      <c r="H4" s="38" t="s">
        <v>40</v>
      </c>
      <c r="I4" s="38"/>
      <c r="J4" s="7">
        <f>R33</f>
        <v>0</v>
      </c>
      <c r="L4" s="8">
        <f>IF(C4="",1,MATCH(C4,결정!$A$11:$A$16,0))</f>
        <v>1</v>
      </c>
      <c r="M4" s="8" cm="1">
        <f t="array" ref="M4">INDEX(결정!B11:B16,L4)+INDEX(결정!C11:C16,L4)*D4</f>
        <v>0</v>
      </c>
      <c r="N4" s="8">
        <v>0</v>
      </c>
      <c r="O4" s="8">
        <v>0</v>
      </c>
      <c r="P4" s="8">
        <v>0</v>
      </c>
      <c r="Q4" s="8">
        <v>0</v>
      </c>
      <c r="R4" s="8">
        <v>0</v>
      </c>
    </row>
    <row r="5" spans="2:18" ht="15" customHeight="1" x14ac:dyDescent="0.3">
      <c r="B5" s="3" t="s">
        <v>12</v>
      </c>
      <c r="C5" s="9"/>
      <c r="D5" s="18">
        <v>0</v>
      </c>
      <c r="L5" s="8">
        <f>IF(C5="",1,MATCH(C5,결정!$A$11:$A$16,0))</f>
        <v>1</v>
      </c>
      <c r="M5" s="8">
        <v>0</v>
      </c>
      <c r="N5" s="8">
        <v>0</v>
      </c>
      <c r="O5" s="8">
        <v>0</v>
      </c>
      <c r="P5" s="8" cm="1">
        <f t="array" ref="P5">INDEX(결정!D11:D16,L5)+INDEX(결정!E11:E16,L5)*D5</f>
        <v>0</v>
      </c>
      <c r="Q5" s="8">
        <v>0</v>
      </c>
      <c r="R5" s="8">
        <v>0</v>
      </c>
    </row>
    <row r="6" spans="2:18" ht="15" customHeight="1" x14ac:dyDescent="0.3">
      <c r="L6" s="8"/>
      <c r="M6" s="8"/>
      <c r="N6" s="8"/>
      <c r="O6" s="8"/>
      <c r="P6" s="8"/>
      <c r="Q6" s="8"/>
      <c r="R6" s="8"/>
    </row>
    <row r="7" spans="2:18" ht="15" customHeight="1" x14ac:dyDescent="0.3">
      <c r="B7" s="3" t="s">
        <v>10</v>
      </c>
      <c r="L7" s="8"/>
      <c r="M7" s="8"/>
      <c r="N7" s="8"/>
      <c r="O7" s="8"/>
      <c r="P7" s="8"/>
      <c r="Q7" s="8"/>
      <c r="R7" s="8"/>
    </row>
    <row r="8" spans="2:18" ht="15" customHeight="1" x14ac:dyDescent="0.3">
      <c r="B8" s="4" t="s">
        <v>13</v>
      </c>
      <c r="C8" s="28"/>
      <c r="D8" s="12">
        <v>0</v>
      </c>
      <c r="F8" s="38" t="s">
        <v>5</v>
      </c>
      <c r="G8" s="41">
        <f>G2*(45+G3*0.075)*(1+J2/100*(J3/100-1))</f>
        <v>5085</v>
      </c>
      <c r="H8" s="41"/>
      <c r="I8" s="41"/>
      <c r="J8" s="41"/>
      <c r="L8" s="8">
        <f>IF(C8="",1,MATCH(C8,결정!$A$2:$A$8,0))</f>
        <v>1</v>
      </c>
      <c r="M8" s="8">
        <f t="shared" ref="M8:R17" si="0">IF($L8=M$32,$D8,0)</f>
        <v>0</v>
      </c>
      <c r="N8" s="8">
        <f t="shared" si="0"/>
        <v>0</v>
      </c>
      <c r="O8" s="8">
        <f t="shared" si="0"/>
        <v>0</v>
      </c>
      <c r="P8" s="8">
        <f t="shared" si="0"/>
        <v>0</v>
      </c>
      <c r="Q8" s="8">
        <f t="shared" si="0"/>
        <v>0</v>
      </c>
      <c r="R8" s="8">
        <f t="shared" si="0"/>
        <v>0</v>
      </c>
    </row>
    <row r="9" spans="2:18" ht="15" customHeight="1" x14ac:dyDescent="0.3">
      <c r="B9" s="4"/>
      <c r="C9" s="28"/>
      <c r="D9" s="12">
        <v>0</v>
      </c>
      <c r="F9" s="38"/>
      <c r="G9" s="41"/>
      <c r="H9" s="41"/>
      <c r="I9" s="41"/>
      <c r="J9" s="41"/>
      <c r="L9" s="8">
        <f>IF(C9="",1,MATCH(C9,결정!$A$2:$A$8,0))</f>
        <v>1</v>
      </c>
      <c r="M9" s="8">
        <f t="shared" si="0"/>
        <v>0</v>
      </c>
      <c r="N9" s="8">
        <f t="shared" si="0"/>
        <v>0</v>
      </c>
      <c r="O9" s="8">
        <f t="shared" si="0"/>
        <v>0</v>
      </c>
      <c r="P9" s="8">
        <f t="shared" si="0"/>
        <v>0</v>
      </c>
      <c r="Q9" s="8">
        <f t="shared" si="0"/>
        <v>0</v>
      </c>
      <c r="R9" s="8">
        <f t="shared" si="0"/>
        <v>0</v>
      </c>
    </row>
    <row r="10" spans="2:18" ht="15" customHeight="1" x14ac:dyDescent="0.3">
      <c r="B10" s="4"/>
      <c r="C10" s="9"/>
      <c r="D10" s="13">
        <v>0</v>
      </c>
      <c r="F10" s="38" t="s">
        <v>38</v>
      </c>
      <c r="G10" s="41">
        <f>G8*L35</f>
        <v>2365.0878694291687</v>
      </c>
      <c r="H10" s="42"/>
      <c r="I10" s="42"/>
      <c r="J10" s="42"/>
      <c r="L10" s="8">
        <f>IF(C10="",1,MATCH(C10,결정!$A$2:$A$8,0))</f>
        <v>1</v>
      </c>
      <c r="M10" s="8">
        <f t="shared" si="0"/>
        <v>0</v>
      </c>
      <c r="N10" s="8">
        <f t="shared" si="0"/>
        <v>0</v>
      </c>
      <c r="O10" s="8">
        <f t="shared" si="0"/>
        <v>0</v>
      </c>
      <c r="P10" s="8">
        <f t="shared" si="0"/>
        <v>0</v>
      </c>
      <c r="Q10" s="8">
        <f t="shared" si="0"/>
        <v>0</v>
      </c>
      <c r="R10" s="8">
        <f t="shared" si="0"/>
        <v>0</v>
      </c>
    </row>
    <row r="11" spans="2:18" ht="15" customHeight="1" x14ac:dyDescent="0.3">
      <c r="B11" s="4"/>
      <c r="C11" s="10"/>
      <c r="D11" s="14">
        <v>0</v>
      </c>
      <c r="F11" s="38"/>
      <c r="G11" s="42"/>
      <c r="H11" s="42"/>
      <c r="I11" s="42"/>
      <c r="J11" s="42"/>
      <c r="L11" s="8">
        <f>IF(C11="",1,MATCH(C11,결정!$A$2:$A$8,0))</f>
        <v>1</v>
      </c>
      <c r="M11" s="8">
        <f t="shared" si="0"/>
        <v>0</v>
      </c>
      <c r="N11" s="8">
        <f t="shared" si="0"/>
        <v>0</v>
      </c>
      <c r="O11" s="8">
        <f t="shared" si="0"/>
        <v>0</v>
      </c>
      <c r="P11" s="8">
        <f t="shared" si="0"/>
        <v>0</v>
      </c>
      <c r="Q11" s="8">
        <f t="shared" si="0"/>
        <v>0</v>
      </c>
      <c r="R11" s="8">
        <f t="shared" si="0"/>
        <v>0</v>
      </c>
    </row>
    <row r="12" spans="2:18" ht="15" customHeight="1" x14ac:dyDescent="0.3">
      <c r="B12" s="4"/>
      <c r="C12" s="28"/>
      <c r="D12" s="12">
        <v>0</v>
      </c>
      <c r="L12" s="8">
        <f>IF(C12="",1,MATCH(C12,결정!$A$2:$A$8,0))</f>
        <v>1</v>
      </c>
      <c r="M12" s="8">
        <f t="shared" si="0"/>
        <v>0</v>
      </c>
      <c r="N12" s="8">
        <f t="shared" si="0"/>
        <v>0</v>
      </c>
      <c r="O12" s="8">
        <f t="shared" si="0"/>
        <v>0</v>
      </c>
      <c r="P12" s="8">
        <f t="shared" si="0"/>
        <v>0</v>
      </c>
      <c r="Q12" s="8">
        <f t="shared" si="0"/>
        <v>0</v>
      </c>
      <c r="R12" s="8">
        <f t="shared" si="0"/>
        <v>0</v>
      </c>
    </row>
    <row r="13" spans="2:18" ht="15" customHeight="1" x14ac:dyDescent="0.3">
      <c r="B13" s="4"/>
      <c r="C13" s="28"/>
      <c r="D13" s="12">
        <v>0</v>
      </c>
      <c r="F13" s="38" t="s">
        <v>39</v>
      </c>
      <c r="G13" s="39">
        <f>쿨감!F11/쿨감!D10*60*G8/10000</f>
        <v>90009.858869512012</v>
      </c>
      <c r="H13" s="39"/>
      <c r="I13" s="39"/>
      <c r="J13" s="39"/>
      <c r="L13" s="8">
        <f>IF(C13="",1,MATCH(C13,결정!$A$2:$A$8,0))</f>
        <v>1</v>
      </c>
      <c r="M13" s="8">
        <f t="shared" si="0"/>
        <v>0</v>
      </c>
      <c r="N13" s="8">
        <f t="shared" si="0"/>
        <v>0</v>
      </c>
      <c r="O13" s="8">
        <f t="shared" si="0"/>
        <v>0</v>
      </c>
      <c r="P13" s="8">
        <f t="shared" si="0"/>
        <v>0</v>
      </c>
      <c r="Q13" s="8">
        <f t="shared" si="0"/>
        <v>0</v>
      </c>
      <c r="R13" s="8">
        <f t="shared" si="0"/>
        <v>0</v>
      </c>
    </row>
    <row r="14" spans="2:18" ht="15" customHeight="1" x14ac:dyDescent="0.3">
      <c r="B14" s="4"/>
      <c r="C14" s="9"/>
      <c r="D14" s="13">
        <v>0</v>
      </c>
      <c r="F14" s="38"/>
      <c r="G14" s="39"/>
      <c r="H14" s="39"/>
      <c r="I14" s="39"/>
      <c r="J14" s="39"/>
      <c r="L14" s="8">
        <f>IF(C14="",1,MATCH(C14,결정!$A$2:$A$8,0))</f>
        <v>1</v>
      </c>
      <c r="M14" s="8">
        <f t="shared" si="0"/>
        <v>0</v>
      </c>
      <c r="N14" s="8">
        <f t="shared" si="0"/>
        <v>0</v>
      </c>
      <c r="O14" s="8">
        <f t="shared" si="0"/>
        <v>0</v>
      </c>
      <c r="P14" s="8">
        <f t="shared" si="0"/>
        <v>0</v>
      </c>
      <c r="Q14" s="8">
        <f t="shared" si="0"/>
        <v>0</v>
      </c>
      <c r="R14" s="8">
        <f t="shared" si="0"/>
        <v>0</v>
      </c>
    </row>
    <row r="15" spans="2:18" ht="15" customHeight="1" thickBot="1" x14ac:dyDescent="0.35">
      <c r="B15" s="4"/>
      <c r="C15" s="28"/>
      <c r="D15" s="12">
        <v>0</v>
      </c>
      <c r="L15" s="8">
        <f>IF(C15="",1,MATCH(C15,결정!$A$2:$A$8,0))</f>
        <v>1</v>
      </c>
      <c r="M15" s="8">
        <f t="shared" si="0"/>
        <v>0</v>
      </c>
      <c r="N15" s="8">
        <f t="shared" si="0"/>
        <v>0</v>
      </c>
      <c r="O15" s="8">
        <f t="shared" si="0"/>
        <v>0</v>
      </c>
      <c r="P15" s="8">
        <f t="shared" si="0"/>
        <v>0</v>
      </c>
      <c r="Q15" s="8">
        <f t="shared" si="0"/>
        <v>0</v>
      </c>
      <c r="R15" s="8">
        <f t="shared" si="0"/>
        <v>0</v>
      </c>
    </row>
    <row r="16" spans="2:18" ht="15" customHeight="1" thickTop="1" x14ac:dyDescent="0.3">
      <c r="B16" s="4" t="s">
        <v>14</v>
      </c>
      <c r="C16" s="29"/>
      <c r="D16" s="30">
        <v>0</v>
      </c>
      <c r="F16" s="35" t="s">
        <v>57</v>
      </c>
      <c r="G16" s="35"/>
      <c r="H16" s="4" t="s">
        <v>58</v>
      </c>
      <c r="I16" s="35" t="s">
        <v>59</v>
      </c>
      <c r="J16" s="35"/>
      <c r="L16" s="8">
        <f>IF(C16="",1,MATCH(C16,결정!$A$2:$A$8,0))</f>
        <v>1</v>
      </c>
      <c r="M16" s="8">
        <f t="shared" si="0"/>
        <v>0</v>
      </c>
      <c r="N16" s="8">
        <f t="shared" si="0"/>
        <v>0</v>
      </c>
      <c r="O16" s="8">
        <f t="shared" si="0"/>
        <v>0</v>
      </c>
      <c r="P16" s="8">
        <f t="shared" si="0"/>
        <v>0</v>
      </c>
      <c r="Q16" s="8">
        <f t="shared" si="0"/>
        <v>0</v>
      </c>
      <c r="R16" s="8">
        <f t="shared" si="0"/>
        <v>0</v>
      </c>
    </row>
    <row r="17" spans="2:18" ht="15" customHeight="1" x14ac:dyDescent="0.3">
      <c r="B17" s="4"/>
      <c r="C17" s="10"/>
      <c r="D17" s="14">
        <v>0</v>
      </c>
      <c r="F17" s="35" t="s">
        <v>0</v>
      </c>
      <c r="G17" s="35"/>
      <c r="H17" s="26">
        <v>400</v>
      </c>
      <c r="I17" s="36">
        <f>H17*G10/M33</f>
        <v>8371.99245815635</v>
      </c>
      <c r="J17" s="36"/>
      <c r="L17" s="8">
        <f>IF(C17="",1,MATCH(C17,결정!$A$2:$A$8,0))</f>
        <v>1</v>
      </c>
      <c r="M17" s="8">
        <f t="shared" si="0"/>
        <v>0</v>
      </c>
      <c r="N17" s="8">
        <f t="shared" si="0"/>
        <v>0</v>
      </c>
      <c r="O17" s="8">
        <f t="shared" si="0"/>
        <v>0</v>
      </c>
      <c r="P17" s="8">
        <f t="shared" si="0"/>
        <v>0</v>
      </c>
      <c r="Q17" s="8">
        <f t="shared" si="0"/>
        <v>0</v>
      </c>
      <c r="R17" s="8">
        <f t="shared" si="0"/>
        <v>0</v>
      </c>
    </row>
    <row r="18" spans="2:18" ht="15" customHeight="1" x14ac:dyDescent="0.3">
      <c r="B18" s="4"/>
      <c r="C18" s="28"/>
      <c r="D18" s="12">
        <v>0</v>
      </c>
      <c r="F18" s="35" t="s">
        <v>18</v>
      </c>
      <c r="G18" s="35"/>
      <c r="H18" s="27">
        <v>5</v>
      </c>
      <c r="I18" s="36">
        <f>G10*H18/(100+N33)</f>
        <v>118.25439347145843</v>
      </c>
      <c r="J18" s="36"/>
      <c r="L18" s="8">
        <f>IF(C18="",1,MATCH(C18,결정!$A$2:$A$8,0))</f>
        <v>1</v>
      </c>
      <c r="M18" s="8">
        <f t="shared" ref="M18:R31" si="1">IF($L18=M$32,$D18,0)</f>
        <v>0</v>
      </c>
      <c r="N18" s="8">
        <f t="shared" si="1"/>
        <v>0</v>
      </c>
      <c r="O18" s="8">
        <f t="shared" si="1"/>
        <v>0</v>
      </c>
      <c r="P18" s="8">
        <f t="shared" si="1"/>
        <v>0</v>
      </c>
      <c r="Q18" s="8">
        <f t="shared" si="1"/>
        <v>0</v>
      </c>
      <c r="R18" s="8">
        <f t="shared" si="1"/>
        <v>0</v>
      </c>
    </row>
    <row r="19" spans="2:18" ht="15" customHeight="1" x14ac:dyDescent="0.3">
      <c r="B19" s="4"/>
      <c r="C19" s="28"/>
      <c r="D19" s="12">
        <v>0</v>
      </c>
      <c r="F19" s="35" t="s">
        <v>2</v>
      </c>
      <c r="G19" s="35"/>
      <c r="H19" s="27">
        <v>16</v>
      </c>
      <c r="I19" s="36">
        <f>G10*(MIN(55,45+(G3+H19)*0.075)/(45+G3*0.075)-1)</f>
        <v>63.069009851444903</v>
      </c>
      <c r="J19" s="36"/>
      <c r="L19" s="8">
        <f>IF(C19="",1,MATCH(C19,결정!$A$2:$A$8,0))</f>
        <v>1</v>
      </c>
      <c r="M19" s="8">
        <f t="shared" si="1"/>
        <v>0</v>
      </c>
      <c r="N19" s="8">
        <f t="shared" si="1"/>
        <v>0</v>
      </c>
      <c r="O19" s="8">
        <f t="shared" si="1"/>
        <v>0</v>
      </c>
      <c r="P19" s="8">
        <f t="shared" si="1"/>
        <v>0</v>
      </c>
      <c r="Q19" s="8">
        <f t="shared" si="1"/>
        <v>0</v>
      </c>
      <c r="R19" s="8">
        <f t="shared" si="1"/>
        <v>0</v>
      </c>
    </row>
    <row r="20" spans="2:18" ht="15" customHeight="1" x14ac:dyDescent="0.3">
      <c r="B20" s="4"/>
      <c r="C20" s="9"/>
      <c r="D20" s="13">
        <v>0</v>
      </c>
      <c r="F20" s="35" t="s">
        <v>17</v>
      </c>
      <c r="G20" s="35"/>
      <c r="H20" s="27">
        <v>16</v>
      </c>
      <c r="I20" s="36">
        <f>G10*((1+MIN(1,(J2+H20)/100)*(J3/100-1))/(1+J2/100*(J3/100-1))-1)</f>
        <v>37.841405910866733</v>
      </c>
      <c r="J20" s="36"/>
      <c r="L20" s="8">
        <f>IF(C20="",1,MATCH(C20,결정!$A$2:$A$8,0))</f>
        <v>1</v>
      </c>
      <c r="M20" s="8">
        <f t="shared" si="1"/>
        <v>0</v>
      </c>
      <c r="N20" s="8">
        <f t="shared" si="1"/>
        <v>0</v>
      </c>
      <c r="O20" s="8">
        <f t="shared" si="1"/>
        <v>0</v>
      </c>
      <c r="P20" s="8">
        <f t="shared" si="1"/>
        <v>0</v>
      </c>
      <c r="Q20" s="8">
        <f t="shared" si="1"/>
        <v>0</v>
      </c>
      <c r="R20" s="8">
        <f t="shared" si="1"/>
        <v>0</v>
      </c>
    </row>
    <row r="21" spans="2:18" ht="15" customHeight="1" x14ac:dyDescent="0.3">
      <c r="B21" s="4"/>
      <c r="C21" s="10"/>
      <c r="D21" s="14">
        <v>0</v>
      </c>
      <c r="F21" s="35" t="s">
        <v>19</v>
      </c>
      <c r="G21" s="35"/>
      <c r="H21" s="27">
        <v>14</v>
      </c>
      <c r="I21" s="36">
        <f>G10*((1+J2/100*((J3+H21)/100-1))/(1+J2/100*(J3/100-1))-1)</f>
        <v>0</v>
      </c>
      <c r="J21" s="36"/>
      <c r="L21" s="8">
        <f>IF(C21="",1,MATCH(C21,결정!$A$2:$A$8,0))</f>
        <v>1</v>
      </c>
      <c r="M21" s="8">
        <f t="shared" si="1"/>
        <v>0</v>
      </c>
      <c r="N21" s="8">
        <f t="shared" si="1"/>
        <v>0</v>
      </c>
      <c r="O21" s="8">
        <f t="shared" si="1"/>
        <v>0</v>
      </c>
      <c r="P21" s="8">
        <f t="shared" si="1"/>
        <v>0</v>
      </c>
      <c r="Q21" s="8">
        <f t="shared" si="1"/>
        <v>0</v>
      </c>
      <c r="R21" s="8">
        <f t="shared" si="1"/>
        <v>0</v>
      </c>
    </row>
    <row r="22" spans="2:18" ht="15" customHeight="1" x14ac:dyDescent="0.3">
      <c r="B22" s="4"/>
      <c r="C22" s="28"/>
      <c r="D22" s="12">
        <v>0</v>
      </c>
      <c r="F22" s="35" t="s">
        <v>40</v>
      </c>
      <c r="G22" s="35"/>
      <c r="H22" s="33">
        <v>2</v>
      </c>
      <c r="I22" s="36" cm="1">
        <f t="array" ref="I22">G8*INDEX(쿨감!B14:F23,MAX(MIN(J4+H22+1,10),1),MATCH(C2,쿨감!B13:F13,1))/쿨감!F14-G10</f>
        <v>216.63854422937993</v>
      </c>
      <c r="J22" s="36"/>
      <c r="L22" s="8">
        <f>IF(C22="",1,MATCH(C22,결정!$A$2:$A$8,0))</f>
        <v>1</v>
      </c>
      <c r="M22" s="8">
        <f t="shared" si="1"/>
        <v>0</v>
      </c>
      <c r="N22" s="8">
        <f t="shared" si="1"/>
        <v>0</v>
      </c>
      <c r="O22" s="8">
        <f t="shared" si="1"/>
        <v>0</v>
      </c>
      <c r="P22" s="8">
        <f t="shared" si="1"/>
        <v>0</v>
      </c>
      <c r="Q22" s="8">
        <f t="shared" si="1"/>
        <v>0</v>
      </c>
      <c r="R22" s="8">
        <f t="shared" si="1"/>
        <v>0</v>
      </c>
    </row>
    <row r="23" spans="2:18" ht="15" customHeight="1" thickBot="1" x14ac:dyDescent="0.35">
      <c r="B23" s="4"/>
      <c r="C23" s="11"/>
      <c r="D23" s="15">
        <v>0</v>
      </c>
      <c r="L23" s="8">
        <f>IF(C23="",1,MATCH(C23,결정!$A$2:$A$8,0))</f>
        <v>1</v>
      </c>
      <c r="M23" s="8">
        <f t="shared" si="1"/>
        <v>0</v>
      </c>
      <c r="N23" s="8">
        <f t="shared" si="1"/>
        <v>0</v>
      </c>
      <c r="O23" s="8">
        <f t="shared" si="1"/>
        <v>0</v>
      </c>
      <c r="P23" s="8">
        <f t="shared" si="1"/>
        <v>0</v>
      </c>
      <c r="Q23" s="8">
        <f t="shared" si="1"/>
        <v>0</v>
      </c>
      <c r="R23" s="8">
        <f t="shared" si="1"/>
        <v>0</v>
      </c>
    </row>
    <row r="24" spans="2:18" ht="15" customHeight="1" thickTop="1" x14ac:dyDescent="0.3">
      <c r="B24" s="4" t="s">
        <v>15</v>
      </c>
      <c r="C24" s="28"/>
      <c r="D24" s="12">
        <v>0</v>
      </c>
      <c r="F24" s="2" t="s">
        <v>76</v>
      </c>
      <c r="L24" s="8">
        <f>IF(C24="",1,MATCH(C24,결정!$A$2:$A$8,0))</f>
        <v>1</v>
      </c>
      <c r="M24" s="8">
        <f t="shared" si="1"/>
        <v>0</v>
      </c>
      <c r="N24" s="8">
        <f t="shared" si="1"/>
        <v>0</v>
      </c>
      <c r="O24" s="8">
        <f t="shared" si="1"/>
        <v>0</v>
      </c>
      <c r="P24" s="8">
        <f t="shared" si="1"/>
        <v>0</v>
      </c>
      <c r="Q24" s="8">
        <f t="shared" si="1"/>
        <v>0</v>
      </c>
      <c r="R24" s="8">
        <f t="shared" si="1"/>
        <v>0</v>
      </c>
    </row>
    <row r="25" spans="2:18" ht="15" customHeight="1" x14ac:dyDescent="0.3">
      <c r="B25" s="4"/>
      <c r="C25" s="28"/>
      <c r="D25" s="12">
        <v>0</v>
      </c>
      <c r="F25" s="2" t="s">
        <v>77</v>
      </c>
      <c r="L25" s="8">
        <f>IF(C25="",1,MATCH(C25,결정!$A$2:$A$8,0))</f>
        <v>1</v>
      </c>
      <c r="M25" s="8">
        <f t="shared" si="1"/>
        <v>0</v>
      </c>
      <c r="N25" s="8">
        <f t="shared" si="1"/>
        <v>0</v>
      </c>
      <c r="O25" s="8">
        <f t="shared" si="1"/>
        <v>0</v>
      </c>
      <c r="P25" s="8">
        <f t="shared" si="1"/>
        <v>0</v>
      </c>
      <c r="Q25" s="8">
        <f t="shared" si="1"/>
        <v>0</v>
      </c>
      <c r="R25" s="8">
        <f t="shared" si="1"/>
        <v>0</v>
      </c>
    </row>
    <row r="26" spans="2:18" ht="15" customHeight="1" x14ac:dyDescent="0.3">
      <c r="B26" s="4"/>
      <c r="C26" s="9"/>
      <c r="D26" s="13">
        <v>0</v>
      </c>
      <c r="L26" s="8">
        <f>IF(C26="",1,MATCH(C26,결정!$A$2:$A$8,0))</f>
        <v>1</v>
      </c>
      <c r="M26" s="8">
        <f t="shared" si="1"/>
        <v>0</v>
      </c>
      <c r="N26" s="8">
        <f t="shared" si="1"/>
        <v>0</v>
      </c>
      <c r="O26" s="8">
        <f t="shared" si="1"/>
        <v>0</v>
      </c>
      <c r="P26" s="8">
        <f t="shared" si="1"/>
        <v>0</v>
      </c>
      <c r="Q26" s="8">
        <f t="shared" si="1"/>
        <v>0</v>
      </c>
      <c r="R26" s="8">
        <f t="shared" si="1"/>
        <v>0</v>
      </c>
    </row>
    <row r="27" spans="2:18" ht="15" customHeight="1" x14ac:dyDescent="0.3">
      <c r="B27" s="4"/>
      <c r="C27" s="10"/>
      <c r="D27" s="14">
        <v>0</v>
      </c>
      <c r="F27" s="2" t="s">
        <v>67</v>
      </c>
      <c r="L27" s="8">
        <f>IF(C27="",1,MATCH(C27,결정!$A$2:$A$8,0))</f>
        <v>1</v>
      </c>
      <c r="M27" s="8">
        <f t="shared" si="1"/>
        <v>0</v>
      </c>
      <c r="N27" s="8">
        <f t="shared" si="1"/>
        <v>0</v>
      </c>
      <c r="O27" s="8">
        <f t="shared" si="1"/>
        <v>0</v>
      </c>
      <c r="P27" s="8">
        <f t="shared" si="1"/>
        <v>0</v>
      </c>
      <c r="Q27" s="8">
        <f t="shared" si="1"/>
        <v>0</v>
      </c>
      <c r="R27" s="8">
        <f t="shared" si="1"/>
        <v>0</v>
      </c>
    </row>
    <row r="28" spans="2:18" ht="15" customHeight="1" x14ac:dyDescent="0.3">
      <c r="B28" s="4"/>
      <c r="C28" s="28"/>
      <c r="D28" s="12">
        <v>0</v>
      </c>
      <c r="F28" s="2" t="s">
        <v>66</v>
      </c>
      <c r="L28" s="8">
        <f>IF(C28="",1,MATCH(C28,결정!$A$2:$A$8,0))</f>
        <v>1</v>
      </c>
      <c r="M28" s="8">
        <f t="shared" si="1"/>
        <v>0</v>
      </c>
      <c r="N28" s="8">
        <f t="shared" si="1"/>
        <v>0</v>
      </c>
      <c r="O28" s="8">
        <f t="shared" si="1"/>
        <v>0</v>
      </c>
      <c r="P28" s="8">
        <f t="shared" si="1"/>
        <v>0</v>
      </c>
      <c r="Q28" s="8">
        <f t="shared" si="1"/>
        <v>0</v>
      </c>
      <c r="R28" s="8">
        <f t="shared" si="1"/>
        <v>0</v>
      </c>
    </row>
    <row r="29" spans="2:18" ht="15" customHeight="1" x14ac:dyDescent="0.3">
      <c r="B29" s="4"/>
      <c r="C29" s="28"/>
      <c r="D29" s="12">
        <v>0</v>
      </c>
      <c r="L29" s="8">
        <f>IF(C29="",1,MATCH(C29,결정!$A$2:$A$8,0))</f>
        <v>1</v>
      </c>
      <c r="M29" s="8">
        <f t="shared" si="1"/>
        <v>0</v>
      </c>
      <c r="N29" s="8">
        <f t="shared" si="1"/>
        <v>0</v>
      </c>
      <c r="O29" s="8">
        <f t="shared" si="1"/>
        <v>0</v>
      </c>
      <c r="P29" s="8">
        <f t="shared" si="1"/>
        <v>0</v>
      </c>
      <c r="Q29" s="8">
        <f t="shared" si="1"/>
        <v>0</v>
      </c>
      <c r="R29" s="8">
        <f t="shared" si="1"/>
        <v>0</v>
      </c>
    </row>
    <row r="30" spans="2:18" ht="15" customHeight="1" x14ac:dyDescent="0.3">
      <c r="B30" s="4"/>
      <c r="C30" s="9"/>
      <c r="D30" s="13">
        <v>0</v>
      </c>
      <c r="F30" s="37" t="s">
        <v>78</v>
      </c>
      <c r="G30" s="37"/>
      <c r="H30" s="37"/>
      <c r="I30" s="37"/>
      <c r="J30" s="37"/>
      <c r="L30" s="8">
        <f>IF(C30="",1,MATCH(C30,결정!$A$2:$A$8,0))</f>
        <v>1</v>
      </c>
      <c r="M30" s="8">
        <f t="shared" si="1"/>
        <v>0</v>
      </c>
      <c r="N30" s="8">
        <f t="shared" si="1"/>
        <v>0</v>
      </c>
      <c r="O30" s="8">
        <f t="shared" si="1"/>
        <v>0</v>
      </c>
      <c r="P30" s="8">
        <f t="shared" si="1"/>
        <v>0</v>
      </c>
      <c r="Q30" s="8">
        <f t="shared" si="1"/>
        <v>0</v>
      </c>
      <c r="R30" s="8">
        <f t="shared" si="1"/>
        <v>0</v>
      </c>
    </row>
    <row r="31" spans="2:18" ht="15" customHeight="1" x14ac:dyDescent="0.3">
      <c r="B31" s="4"/>
      <c r="C31" s="28"/>
      <c r="D31" s="12">
        <v>0</v>
      </c>
      <c r="L31" s="8">
        <f>IF(C31="",1,MATCH(C31,결정!$A$2:$A$8,0))</f>
        <v>1</v>
      </c>
      <c r="M31" s="8">
        <f t="shared" si="1"/>
        <v>0</v>
      </c>
      <c r="N31" s="8">
        <f t="shared" si="1"/>
        <v>0</v>
      </c>
      <c r="O31" s="8">
        <f t="shared" si="1"/>
        <v>0</v>
      </c>
      <c r="P31" s="8">
        <f t="shared" si="1"/>
        <v>0</v>
      </c>
      <c r="Q31" s="8">
        <f t="shared" si="1"/>
        <v>0</v>
      </c>
      <c r="R31" s="8">
        <f t="shared" si="1"/>
        <v>0</v>
      </c>
    </row>
    <row r="32" spans="2:18" ht="15" customHeight="1" x14ac:dyDescent="0.3">
      <c r="L32" s="8"/>
      <c r="M32" s="8">
        <v>2</v>
      </c>
      <c r="N32" s="8">
        <v>3</v>
      </c>
      <c r="O32" s="8">
        <v>4</v>
      </c>
      <c r="P32" s="8">
        <v>5</v>
      </c>
      <c r="Q32" s="8">
        <v>6</v>
      </c>
      <c r="R32" s="8">
        <v>7</v>
      </c>
    </row>
    <row r="33" spans="12:18" ht="15" customHeight="1" x14ac:dyDescent="0.3">
      <c r="L33" s="8" t="s">
        <v>32</v>
      </c>
      <c r="M33" s="8">
        <f t="shared" ref="M33:N33" si="2">SUM(M2:M31)</f>
        <v>113</v>
      </c>
      <c r="N33" s="8">
        <f t="shared" si="2"/>
        <v>0</v>
      </c>
      <c r="O33" s="8">
        <f t="shared" ref="O33:P33" si="3">MIN(SUM(O2:O31),100)</f>
        <v>0</v>
      </c>
      <c r="P33" s="8">
        <f t="shared" si="3"/>
        <v>0</v>
      </c>
      <c r="Q33" s="8">
        <f t="shared" ref="Q33" si="4">SUM(Q2:Q31)</f>
        <v>110</v>
      </c>
      <c r="R33" s="8">
        <f>MIN(SUM(R2:R31),9)</f>
        <v>0</v>
      </c>
    </row>
    <row r="34" spans="12:18" ht="15" customHeight="1" x14ac:dyDescent="0.3">
      <c r="L34" s="8"/>
      <c r="M34" s="8"/>
      <c r="N34" s="8"/>
      <c r="O34" s="8"/>
      <c r="P34" s="8"/>
      <c r="Q34" s="8"/>
      <c r="R34" s="8"/>
    </row>
    <row r="35" spans="12:18" ht="15" customHeight="1" x14ac:dyDescent="0.3">
      <c r="L35" s="34" cm="1">
        <f t="array" ref="L35">INDEX(쿨감!B14:F23,J4+1,MATCH(C2,쿨감!B13:F13,1))/쿨감!F14</f>
        <v>0.46511069211979722</v>
      </c>
      <c r="M35" s="8"/>
      <c r="N35" s="8"/>
      <c r="O35" s="8"/>
      <c r="P35" s="8"/>
      <c r="Q35" s="8"/>
      <c r="R35" s="8"/>
    </row>
  </sheetData>
  <sheetProtection algorithmName="SHA-512" hashValue="de+a9aCZTyqO99lJ+UhUa4K2lpvwiSuVN3RNgfZkJR0TNLDmiUBf+PV7G5Nj+COW9vNQrjnQdOEz6DfGvJN7eA==" saltValue="ddrL0lG86LMT4VOnmDcLNw==" spinCount="100000" sheet="1" objects="1" scenarios="1" selectLockedCells="1"/>
  <mergeCells count="25">
    <mergeCell ref="F13:F14"/>
    <mergeCell ref="F16:G16"/>
    <mergeCell ref="F17:G17"/>
    <mergeCell ref="C2:D2"/>
    <mergeCell ref="G8:J9"/>
    <mergeCell ref="F10:F11"/>
    <mergeCell ref="F8:F9"/>
    <mergeCell ref="G10:J11"/>
    <mergeCell ref="I18:J18"/>
    <mergeCell ref="F18:G18"/>
    <mergeCell ref="F19:G19"/>
    <mergeCell ref="F20:G20"/>
    <mergeCell ref="I19:J19"/>
    <mergeCell ref="I20:J20"/>
    <mergeCell ref="I16:J16"/>
    <mergeCell ref="H2:I2"/>
    <mergeCell ref="H3:I3"/>
    <mergeCell ref="H4:I4"/>
    <mergeCell ref="I17:J17"/>
    <mergeCell ref="G13:J14"/>
    <mergeCell ref="F22:G22"/>
    <mergeCell ref="I22:J22"/>
    <mergeCell ref="F30:J30"/>
    <mergeCell ref="I21:J21"/>
    <mergeCell ref="F21:G21"/>
  </mergeCells>
  <phoneticPr fontId="2" type="noConversion"/>
  <conditionalFormatting sqref="C8:C31">
    <cfRule type="expression" dxfId="16" priority="4">
      <formula>C8="기타"</formula>
    </cfRule>
  </conditionalFormatting>
  <conditionalFormatting sqref="D4:D5">
    <cfRule type="expression" dxfId="15" priority="5">
      <formula>L4&lt;3</formula>
    </cfRule>
  </conditionalFormatting>
  <conditionalFormatting sqref="D8:D31">
    <cfRule type="expression" dxfId="14" priority="6" stopIfTrue="1">
      <formula>L8=1</formula>
    </cfRule>
    <cfRule type="expression" dxfId="12" priority="8" stopIfTrue="1">
      <formula>L8=2</formula>
    </cfRule>
    <cfRule type="expression" dxfId="11" priority="9">
      <formula>L8&lt;7</formula>
    </cfRule>
    <cfRule type="expression" dxfId="10" priority="10" stopIfTrue="1">
      <formula>L8=7</formula>
    </cfRule>
  </conditionalFormatting>
  <conditionalFormatting sqref="H19">
    <cfRule type="expression" dxfId="9" priority="3">
      <formula>$G$3+$H$19&lt;0</formula>
    </cfRule>
  </conditionalFormatting>
  <conditionalFormatting sqref="H20">
    <cfRule type="expression" dxfId="8" priority="2">
      <formula>$J$2+$H$20&lt;0</formula>
    </cfRule>
  </conditionalFormatting>
  <dataValidations count="4">
    <dataValidation type="whole" allowBlank="1" showInputMessage="1" showErrorMessage="1" sqref="C2:D2" xr:uid="{64D6B2A9-BFD2-4040-BEC6-CED6A35D4BD8}">
      <formula1>1</formula1>
      <formula2>90</formula2>
    </dataValidation>
    <dataValidation type="whole" allowBlank="1" showInputMessage="1" showErrorMessage="1" sqref="D4:D5" xr:uid="{46BEE740-5200-467A-B1AD-4FF672D102AC}">
      <formula1>0</formula1>
      <formula2>12</formula2>
    </dataValidation>
    <dataValidation type="whole" allowBlank="1" showInputMessage="1" showErrorMessage="1" sqref="D8:D31" xr:uid="{2385A85A-BAEB-4678-9FF0-CEFDAD32EA68}">
      <formula1>0</formula1>
      <formula2>400</formula2>
    </dataValidation>
    <dataValidation type="whole" allowBlank="1" showInputMessage="1" showErrorMessage="1" sqref="H22" xr:uid="{BD17F71A-46D0-4056-A3E9-70D46B2B2B65}">
      <formula1>-9</formula1>
      <formula2>9</formula2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622A315C-6A2A-4C8E-9DF4-86416D4E7C32}">
            <xm:f>OR(D8&lt;INDEX(결정!$B$2:$B$8,L8),D8&gt;INDEX(결정!$C$2:$C$8,L8))</xm:f>
            <x14:dxf>
              <fill>
                <patternFill>
                  <bgColor rgb="FFFF0000"/>
                </patternFill>
              </fill>
            </x14:dxf>
          </x14:cfRule>
          <xm:sqref>D8:D31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6C50B8-D373-46D2-937B-B134C6341ED2}">
          <x14:formula1>
            <xm:f>결정!$A$11:$A$16</xm:f>
          </x14:formula1>
          <xm:sqref>C4:C5</xm:sqref>
        </x14:dataValidation>
        <x14:dataValidation type="list" allowBlank="1" showInputMessage="1" showErrorMessage="1" xr:uid="{F794E616-77EE-4CB4-935D-5E17AC8D9258}">
          <x14:formula1>
            <xm:f>결정!$A$2:$A$8</xm:f>
          </x14:formula1>
          <xm:sqref>C8:C31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2765C-9C20-4424-991E-8F2912D9398C}">
  <dimension ref="A1:O41"/>
  <sheetViews>
    <sheetView workbookViewId="0"/>
  </sheetViews>
  <sheetFormatPr defaultRowHeight="15" customHeight="1" x14ac:dyDescent="0.3"/>
  <cols>
    <col min="1" max="1" width="2.5" style="2" customWidth="1"/>
    <col min="2" max="2" width="11.5" style="1" bestFit="1" customWidth="1"/>
    <col min="3" max="3" width="7.375" style="2" customWidth="1"/>
    <col min="4" max="4" width="16.125" style="2" bestFit="1" customWidth="1"/>
    <col min="5" max="5" width="20.625" style="2" bestFit="1" customWidth="1"/>
    <col min="6" max="8" width="9" style="2" hidden="1" customWidth="1"/>
    <col min="9" max="9" width="2.5" style="2" customWidth="1"/>
    <col min="10" max="10" width="11.5" style="1" customWidth="1"/>
    <col min="11" max="11" width="7.375" style="2" customWidth="1"/>
    <col min="12" max="12" width="16.125" style="2" bestFit="1" customWidth="1"/>
    <col min="13" max="13" width="20.625" style="2" bestFit="1" customWidth="1"/>
    <col min="14" max="16384" width="9" style="2"/>
  </cols>
  <sheetData>
    <row r="1" spans="2:15" ht="15" customHeight="1" x14ac:dyDescent="0.3">
      <c r="F1" s="8"/>
      <c r="G1" s="8" cm="1">
        <f t="array" ref="G1">INDEX(결정!C11:C16,F2)</f>
        <v>0</v>
      </c>
      <c r="N1" s="8"/>
      <c r="O1" s="8" cm="1">
        <f t="array" ref="O1">INDEX(결정!E11:E16,N2)</f>
        <v>0</v>
      </c>
    </row>
    <row r="2" spans="2:15" ht="15" customHeight="1" x14ac:dyDescent="0.3">
      <c r="B2" s="3" t="s">
        <v>11</v>
      </c>
      <c r="C2" s="43" t="str">
        <f>IF(메인!C4="","",메인!C4)</f>
        <v/>
      </c>
      <c r="D2" s="43"/>
      <c r="E2" s="22">
        <f>메인!D4</f>
        <v>0</v>
      </c>
      <c r="F2" s="8">
        <f>메인!L4</f>
        <v>1</v>
      </c>
      <c r="G2" s="8">
        <f>IF(F2&lt;3,0,12)</f>
        <v>0</v>
      </c>
      <c r="J2" s="3" t="s">
        <v>75</v>
      </c>
      <c r="K2" s="43" t="str">
        <f>IF(메인!C5="","",메인!C5)</f>
        <v/>
      </c>
      <c r="L2" s="43"/>
      <c r="M2" s="22">
        <f>메인!D5</f>
        <v>0</v>
      </c>
      <c r="N2" s="8">
        <f>메인!L5</f>
        <v>1</v>
      </c>
      <c r="O2" s="8">
        <f>IF(N2&lt;3,0,12)</f>
        <v>0</v>
      </c>
    </row>
    <row r="3" spans="2:15" ht="15" customHeight="1" x14ac:dyDescent="0.3">
      <c r="F3" s="8"/>
      <c r="G3" s="8"/>
      <c r="N3" s="8"/>
      <c r="O3" s="8"/>
    </row>
    <row r="4" spans="2:15" ht="15" customHeight="1" x14ac:dyDescent="0.3">
      <c r="B4" s="3" t="s">
        <v>60</v>
      </c>
      <c r="C4" s="4" t="s">
        <v>63</v>
      </c>
      <c r="D4" s="4" t="s">
        <v>59</v>
      </c>
      <c r="E4" s="4" t="s">
        <v>68</v>
      </c>
      <c r="F4" s="8"/>
      <c r="G4" s="8">
        <f>_xlfn.FLOOR.MATH((메인!$M$33+(ROW()-4)*$G$1)*(1+메인!$N$33/100))</f>
        <v>113</v>
      </c>
      <c r="J4" s="3" t="s">
        <v>60</v>
      </c>
      <c r="K4" s="4" t="s">
        <v>63</v>
      </c>
      <c r="L4" s="4" t="s">
        <v>59</v>
      </c>
      <c r="M4" s="4" t="s">
        <v>68</v>
      </c>
      <c r="N4" s="8"/>
      <c r="O4" s="8">
        <f>10000+MIN(100,메인!$J$2+ROW()-4)*(메인!$J$3-100)</f>
        <v>10000</v>
      </c>
    </row>
    <row r="5" spans="2:15" ht="15" customHeight="1" x14ac:dyDescent="0.3">
      <c r="B5" s="4" t="str">
        <f t="shared" ref="B5:B11" si="0">$E$2&amp;" → "&amp;F5</f>
        <v>0 → 1</v>
      </c>
      <c r="C5" s="19">
        <f ca="1">OFFSET(장비!N3,$E$2,$F$2-3)-OFFSET(장비!$N$2,$E$2,$F$2-3)</f>
        <v>0</v>
      </c>
      <c r="D5" s="20">
        <f>메인!$G$10*(G5-$G$4)/$G$4</f>
        <v>0</v>
      </c>
      <c r="E5" s="21">
        <f t="shared" ref="E5:E16" ca="1" si="1">(G5/$G$4-1)/MAX(C5,1)*1000</f>
        <v>0</v>
      </c>
      <c r="F5" s="25">
        <f>E2+1</f>
        <v>1</v>
      </c>
      <c r="G5" s="8">
        <f>_xlfn.FLOOR.MATH((메인!$M$33+(ROW()-4)*$G$1)*(1+메인!$N$33/100))</f>
        <v>113</v>
      </c>
      <c r="J5" s="4" t="str">
        <f t="shared" ref="J5:J16" si="2">$M$2&amp;" → "&amp;N5</f>
        <v>0 → 1</v>
      </c>
      <c r="K5" s="19">
        <f ca="1">OFFSET(장비!N3,$M$2,$N$2-3)-OFFSET(장비!$N$2,$M$2,$N$2-3)</f>
        <v>0</v>
      </c>
      <c r="L5" s="20">
        <f>메인!$G$10*(O5-$O$4)/$O$4</f>
        <v>2.3650878694291686</v>
      </c>
      <c r="M5" s="21">
        <f t="shared" ref="M5:M16" ca="1" si="3">(O5/$O$4-1)/MAX(K5,1)*1000</f>
        <v>0.99999999999988987</v>
      </c>
      <c r="N5" s="25">
        <f>M2+1</f>
        <v>1</v>
      </c>
      <c r="O5" s="8">
        <f>10000+MIN(100,메인!$J$2+ROW()-4)*(메인!$J$3-100)</f>
        <v>10010</v>
      </c>
    </row>
    <row r="6" spans="2:15" ht="15" customHeight="1" x14ac:dyDescent="0.3">
      <c r="B6" s="4" t="str">
        <f t="shared" si="0"/>
        <v>0 → 2</v>
      </c>
      <c r="C6" s="19">
        <f ca="1">OFFSET(장비!N4,$E$2,$F$2-3)-OFFSET(장비!$N$2,$E$2,$F$2-3)</f>
        <v>0</v>
      </c>
      <c r="D6" s="20">
        <f>메인!$G$10*(G6-$G$4)/$G$4</f>
        <v>0</v>
      </c>
      <c r="E6" s="21">
        <f t="shared" ca="1" si="1"/>
        <v>0</v>
      </c>
      <c r="F6" s="25">
        <f>F5+1</f>
        <v>2</v>
      </c>
      <c r="G6" s="8">
        <f>_xlfn.FLOOR.MATH((메인!$M$33+(ROW()-4)*$G$1)*(1+메인!$N$33/100))</f>
        <v>113</v>
      </c>
      <c r="J6" s="4" t="str">
        <f t="shared" si="2"/>
        <v>0 → 2</v>
      </c>
      <c r="K6" s="19">
        <f ca="1">OFFSET(장비!N4,$M$2,$N$2-3)-OFFSET(장비!$N$2,$M$2,$N$2-3)</f>
        <v>0</v>
      </c>
      <c r="L6" s="20">
        <f>메인!$G$10*(O6-$O$4)/$O$4</f>
        <v>4.7301757388583372</v>
      </c>
      <c r="M6" s="21">
        <f t="shared" ca="1" si="3"/>
        <v>2.0000000000000018</v>
      </c>
      <c r="N6" s="25">
        <f>N5+1</f>
        <v>2</v>
      </c>
      <c r="O6" s="8">
        <f>10000+MIN(100,메인!$J$2+ROW()-4)*(메인!$J$3-100)</f>
        <v>10020</v>
      </c>
    </row>
    <row r="7" spans="2:15" ht="15" customHeight="1" x14ac:dyDescent="0.3">
      <c r="B7" s="4" t="str">
        <f t="shared" si="0"/>
        <v>0 → 3</v>
      </c>
      <c r="C7" s="19">
        <f ca="1">OFFSET(장비!N5,$E$2,$F$2-3)-OFFSET(장비!$N$2,$E$2,$F$2-3)</f>
        <v>0</v>
      </c>
      <c r="D7" s="20">
        <f>메인!$G$10*(G7-$G$4)/$G$4</f>
        <v>0</v>
      </c>
      <c r="E7" s="21">
        <f t="shared" ca="1" si="1"/>
        <v>0</v>
      </c>
      <c r="F7" s="25">
        <f t="shared" ref="F7:F16" si="4">F6+1</f>
        <v>3</v>
      </c>
      <c r="G7" s="8">
        <f>_xlfn.FLOOR.MATH((메인!$M$33+(ROW()-4)*$G$1)*(1+메인!$N$33/100))</f>
        <v>113</v>
      </c>
      <c r="J7" s="4" t="str">
        <f t="shared" si="2"/>
        <v>0 → 3</v>
      </c>
      <c r="K7" s="19">
        <f ca="1">OFFSET(장비!N5,$M$2,$N$2-3)-OFFSET(장비!$N$2,$M$2,$N$2-3)</f>
        <v>0</v>
      </c>
      <c r="L7" s="20">
        <f>메인!$G$10*(O7-$O$4)/$O$4</f>
        <v>7.0952636082875058</v>
      </c>
      <c r="M7" s="21">
        <f t="shared" ca="1" si="3"/>
        <v>2.9999999999998916</v>
      </c>
      <c r="N7" s="25">
        <f t="shared" ref="N7:N16" si="5">N6+1</f>
        <v>3</v>
      </c>
      <c r="O7" s="8">
        <f>10000+MIN(100,메인!$J$2+ROW()-4)*(메인!$J$3-100)</f>
        <v>10030</v>
      </c>
    </row>
    <row r="8" spans="2:15" ht="15" customHeight="1" x14ac:dyDescent="0.3">
      <c r="B8" s="4" t="str">
        <f t="shared" si="0"/>
        <v>0 → 4</v>
      </c>
      <c r="C8" s="19">
        <f ca="1">OFFSET(장비!N6,$E$2,$F$2-3)-OFFSET(장비!$N$2,$E$2,$F$2-3)</f>
        <v>0</v>
      </c>
      <c r="D8" s="20">
        <f>메인!$G$10*(G8-$G$4)/$G$4</f>
        <v>0</v>
      </c>
      <c r="E8" s="21">
        <f t="shared" ca="1" si="1"/>
        <v>0</v>
      </c>
      <c r="F8" s="25">
        <f t="shared" si="4"/>
        <v>4</v>
      </c>
      <c r="G8" s="8">
        <f>_xlfn.FLOOR.MATH((메인!$M$33+(ROW()-4)*$G$1)*(1+메인!$N$33/100))</f>
        <v>113</v>
      </c>
      <c r="J8" s="4" t="str">
        <f t="shared" si="2"/>
        <v>0 → 4</v>
      </c>
      <c r="K8" s="19">
        <f ca="1">OFFSET(장비!N6,$M$2,$N$2-3)-OFFSET(장비!$N$2,$M$2,$N$2-3)</f>
        <v>0</v>
      </c>
      <c r="L8" s="20">
        <f>메인!$G$10*(O8-$O$4)/$O$4</f>
        <v>9.4603514777166744</v>
      </c>
      <c r="M8" s="21">
        <f t="shared" ca="1" si="3"/>
        <v>4.0000000000000036</v>
      </c>
      <c r="N8" s="25">
        <f t="shared" si="5"/>
        <v>4</v>
      </c>
      <c r="O8" s="8">
        <f>10000+MIN(100,메인!$J$2+ROW()-4)*(메인!$J$3-100)</f>
        <v>10040</v>
      </c>
    </row>
    <row r="9" spans="2:15" ht="15" customHeight="1" x14ac:dyDescent="0.3">
      <c r="B9" s="4" t="str">
        <f t="shared" si="0"/>
        <v>0 → 5</v>
      </c>
      <c r="C9" s="19">
        <f ca="1">OFFSET(장비!N7,$E$2,$F$2-3)-OFFSET(장비!$N$2,$E$2,$F$2-3)</f>
        <v>0</v>
      </c>
      <c r="D9" s="20">
        <f>메인!$G$10*(G9-$G$4)/$G$4</f>
        <v>0</v>
      </c>
      <c r="E9" s="21">
        <f t="shared" ca="1" si="1"/>
        <v>0</v>
      </c>
      <c r="F9" s="25">
        <f t="shared" si="4"/>
        <v>5</v>
      </c>
      <c r="G9" s="8">
        <f>_xlfn.FLOOR.MATH((메인!$M$33+(ROW()-4)*$G$1)*(1+메인!$N$33/100))</f>
        <v>113</v>
      </c>
      <c r="J9" s="4" t="str">
        <f t="shared" si="2"/>
        <v>0 → 5</v>
      </c>
      <c r="K9" s="19">
        <f ca="1">OFFSET(장비!N7,$M$2,$N$2-3)-OFFSET(장비!$N$2,$M$2,$N$2-3)</f>
        <v>0</v>
      </c>
      <c r="L9" s="20">
        <f>메인!$G$10*(O9-$O$4)/$O$4</f>
        <v>11.825439347145844</v>
      </c>
      <c r="M9" s="21">
        <f t="shared" ca="1" si="3"/>
        <v>4.9999999999998934</v>
      </c>
      <c r="N9" s="25">
        <f t="shared" si="5"/>
        <v>5</v>
      </c>
      <c r="O9" s="8">
        <f>10000+MIN(100,메인!$J$2+ROW()-4)*(메인!$J$3-100)</f>
        <v>10050</v>
      </c>
    </row>
    <row r="10" spans="2:15" ht="15" customHeight="1" x14ac:dyDescent="0.3">
      <c r="B10" s="4" t="str">
        <f t="shared" si="0"/>
        <v>0 → 6</v>
      </c>
      <c r="C10" s="19">
        <f ca="1">OFFSET(장비!N8,$E$2,$F$2-3)-OFFSET(장비!$N$2,$E$2,$F$2-3)</f>
        <v>0</v>
      </c>
      <c r="D10" s="20">
        <f>메인!$G$10*(G10-$G$4)/$G$4</f>
        <v>0</v>
      </c>
      <c r="E10" s="21">
        <f t="shared" ca="1" si="1"/>
        <v>0</v>
      </c>
      <c r="F10" s="25">
        <f t="shared" si="4"/>
        <v>6</v>
      </c>
      <c r="G10" s="8">
        <f>_xlfn.FLOOR.MATH((메인!$M$33+(ROW()-4)*$G$1)*(1+메인!$N$33/100))</f>
        <v>113</v>
      </c>
      <c r="J10" s="4" t="str">
        <f t="shared" si="2"/>
        <v>0 → 6</v>
      </c>
      <c r="K10" s="19">
        <f ca="1">OFFSET(장비!N8,$M$2,$N$2-3)-OFFSET(장비!$N$2,$M$2,$N$2-3)</f>
        <v>0</v>
      </c>
      <c r="L10" s="20">
        <f>메인!$G$10*(O10-$O$4)/$O$4</f>
        <v>14.190527216575012</v>
      </c>
      <c r="M10" s="21">
        <f t="shared" ca="1" si="3"/>
        <v>6.0000000000000053</v>
      </c>
      <c r="N10" s="25">
        <f t="shared" si="5"/>
        <v>6</v>
      </c>
      <c r="O10" s="8">
        <f>10000+MIN(100,메인!$J$2+ROW()-4)*(메인!$J$3-100)</f>
        <v>10060</v>
      </c>
    </row>
    <row r="11" spans="2:15" ht="15" customHeight="1" x14ac:dyDescent="0.3">
      <c r="B11" s="4" t="str">
        <f t="shared" si="0"/>
        <v>0 → 7</v>
      </c>
      <c r="C11" s="19">
        <f ca="1">OFFSET(장비!N9,$E$2,$F$2-3)-OFFSET(장비!$N$2,$E$2,$F$2-3)</f>
        <v>0</v>
      </c>
      <c r="D11" s="20">
        <f>메인!$G$10*(G11-$G$4)/$G$4</f>
        <v>0</v>
      </c>
      <c r="E11" s="21">
        <f t="shared" ca="1" si="1"/>
        <v>0</v>
      </c>
      <c r="F11" s="25">
        <f t="shared" si="4"/>
        <v>7</v>
      </c>
      <c r="G11" s="8">
        <f>_xlfn.FLOOR.MATH((메인!$M$33+(ROW()-4)*$G$1)*(1+메인!$N$33/100))</f>
        <v>113</v>
      </c>
      <c r="J11" s="4" t="str">
        <f t="shared" si="2"/>
        <v>0 → 7</v>
      </c>
      <c r="K11" s="19">
        <f ca="1">OFFSET(장비!N9,$M$2,$N$2-3)-OFFSET(장비!$N$2,$M$2,$N$2-3)</f>
        <v>0</v>
      </c>
      <c r="L11" s="20">
        <f>메인!$G$10*(O11-$O$4)/$O$4</f>
        <v>16.555615086004181</v>
      </c>
      <c r="M11" s="21">
        <f t="shared" ca="1" si="3"/>
        <v>6.9999999999998952</v>
      </c>
      <c r="N11" s="25">
        <f t="shared" si="5"/>
        <v>7</v>
      </c>
      <c r="O11" s="8">
        <f>10000+MIN(100,메인!$J$2+ROW()-4)*(메인!$J$3-100)</f>
        <v>10070</v>
      </c>
    </row>
    <row r="12" spans="2:15" ht="15" customHeight="1" x14ac:dyDescent="0.3">
      <c r="B12" s="4" t="str">
        <f t="shared" ref="B12:B16" si="6">$E$2&amp;" → "&amp;F12</f>
        <v>0 → 8</v>
      </c>
      <c r="C12" s="19">
        <f ca="1">OFFSET(장비!N10,$E$2,$F$2-3)-OFFSET(장비!$N$2,$E$2,$F$2-3)</f>
        <v>0</v>
      </c>
      <c r="D12" s="20">
        <f>메인!$G$10*(G12-$G$4)/$G$4</f>
        <v>0</v>
      </c>
      <c r="E12" s="21">
        <f t="shared" ca="1" si="1"/>
        <v>0</v>
      </c>
      <c r="F12" s="25">
        <f t="shared" si="4"/>
        <v>8</v>
      </c>
      <c r="G12" s="8">
        <f>_xlfn.FLOOR.MATH((메인!$M$33+(ROW()-4)*$G$1)*(1+메인!$N$33/100))</f>
        <v>113</v>
      </c>
      <c r="J12" s="4" t="str">
        <f t="shared" si="2"/>
        <v>0 → 8</v>
      </c>
      <c r="K12" s="19">
        <f ca="1">OFFSET(장비!N10,$M$2,$N$2-3)-OFFSET(장비!$N$2,$M$2,$N$2-3)</f>
        <v>0</v>
      </c>
      <c r="L12" s="20">
        <f>메인!$G$10*(O12-$O$4)/$O$4</f>
        <v>18.920702955433349</v>
      </c>
      <c r="M12" s="21">
        <f t="shared" ca="1" si="3"/>
        <v>8.0000000000000071</v>
      </c>
      <c r="N12" s="25">
        <f t="shared" si="5"/>
        <v>8</v>
      </c>
      <c r="O12" s="8">
        <f>10000+MIN(100,메인!$J$2+ROW()-4)*(메인!$J$3-100)</f>
        <v>10080</v>
      </c>
    </row>
    <row r="13" spans="2:15" ht="15" customHeight="1" x14ac:dyDescent="0.3">
      <c r="B13" s="4" t="str">
        <f t="shared" si="6"/>
        <v>0 → 9</v>
      </c>
      <c r="C13" s="19">
        <f ca="1">OFFSET(장비!N11,$E$2,$F$2-3)-OFFSET(장비!$N$2,$E$2,$F$2-3)</f>
        <v>0</v>
      </c>
      <c r="D13" s="20">
        <f>메인!$G$10*(G13-$G$4)/$G$4</f>
        <v>0</v>
      </c>
      <c r="E13" s="21">
        <f t="shared" ca="1" si="1"/>
        <v>0</v>
      </c>
      <c r="F13" s="25">
        <f t="shared" si="4"/>
        <v>9</v>
      </c>
      <c r="G13" s="8">
        <f>_xlfn.FLOOR.MATH((메인!$M$33+(ROW()-4)*$G$1)*(1+메인!$N$33/100))</f>
        <v>113</v>
      </c>
      <c r="J13" s="4" t="str">
        <f t="shared" si="2"/>
        <v>0 → 9</v>
      </c>
      <c r="K13" s="19">
        <f ca="1">OFFSET(장비!N11,$M$2,$N$2-3)-OFFSET(장비!$N$2,$M$2,$N$2-3)</f>
        <v>0</v>
      </c>
      <c r="L13" s="20">
        <f>메인!$G$10*(O13-$O$4)/$O$4</f>
        <v>21.285790824862517</v>
      </c>
      <c r="M13" s="21">
        <f t="shared" ca="1" si="3"/>
        <v>8.999999999999897</v>
      </c>
      <c r="N13" s="25">
        <f t="shared" si="5"/>
        <v>9</v>
      </c>
      <c r="O13" s="8">
        <f>10000+MIN(100,메인!$J$2+ROW()-4)*(메인!$J$3-100)</f>
        <v>10090</v>
      </c>
    </row>
    <row r="14" spans="2:15" ht="15" customHeight="1" x14ac:dyDescent="0.3">
      <c r="B14" s="4" t="str">
        <f t="shared" si="6"/>
        <v>0 → 10</v>
      </c>
      <c r="C14" s="19">
        <f ca="1">OFFSET(장비!N12,$E$2,$F$2-3)-OFFSET(장비!$N$2,$E$2,$F$2-3)</f>
        <v>0</v>
      </c>
      <c r="D14" s="20">
        <f>메인!$G$10*(G14-$G$4)/$G$4</f>
        <v>0</v>
      </c>
      <c r="E14" s="21">
        <f t="shared" ca="1" si="1"/>
        <v>0</v>
      </c>
      <c r="F14" s="25">
        <f t="shared" si="4"/>
        <v>10</v>
      </c>
      <c r="G14" s="8">
        <f>_xlfn.FLOOR.MATH((메인!$M$33+(ROW()-4)*$G$1)*(1+메인!$N$33/100))</f>
        <v>113</v>
      </c>
      <c r="J14" s="4" t="str">
        <f t="shared" si="2"/>
        <v>0 → 10</v>
      </c>
      <c r="K14" s="19">
        <f ca="1">OFFSET(장비!N12,$M$2,$N$2-3)-OFFSET(장비!$N$2,$M$2,$N$2-3)</f>
        <v>0</v>
      </c>
      <c r="L14" s="20">
        <f>메인!$G$10*(O14-$O$4)/$O$4</f>
        <v>23.650878694291688</v>
      </c>
      <c r="M14" s="21">
        <f t="shared" ca="1" si="3"/>
        <v>10.000000000000009</v>
      </c>
      <c r="N14" s="25">
        <f t="shared" si="5"/>
        <v>10</v>
      </c>
      <c r="O14" s="8">
        <f>10000+MIN(100,메인!$J$2+ROW()-4)*(메인!$J$3-100)</f>
        <v>10100</v>
      </c>
    </row>
    <row r="15" spans="2:15" ht="15" customHeight="1" x14ac:dyDescent="0.3">
      <c r="B15" s="4" t="str">
        <f t="shared" si="6"/>
        <v>0 → 11</v>
      </c>
      <c r="C15" s="19">
        <f ca="1">OFFSET(장비!N13,$E$2,$F$2-3)-OFFSET(장비!$N$2,$E$2,$F$2-3)</f>
        <v>0</v>
      </c>
      <c r="D15" s="20">
        <f>메인!$G$10*(G15-$G$4)/$G$4</f>
        <v>0</v>
      </c>
      <c r="E15" s="21">
        <f t="shared" ca="1" si="1"/>
        <v>0</v>
      </c>
      <c r="F15" s="25">
        <f t="shared" si="4"/>
        <v>11</v>
      </c>
      <c r="G15" s="8">
        <f>_xlfn.FLOOR.MATH((메인!$M$33+(ROW()-4)*$G$1)*(1+메인!$N$33/100))</f>
        <v>113</v>
      </c>
      <c r="J15" s="4" t="str">
        <f t="shared" si="2"/>
        <v>0 → 11</v>
      </c>
      <c r="K15" s="19">
        <f ca="1">OFFSET(장비!N13,$M$2,$N$2-3)-OFFSET(장비!$N$2,$M$2,$N$2-3)</f>
        <v>0</v>
      </c>
      <c r="L15" s="20">
        <f>메인!$G$10*(O15-$O$4)/$O$4</f>
        <v>26.015966563720855</v>
      </c>
      <c r="M15" s="21">
        <f t="shared" ca="1" si="3"/>
        <v>10.999999999999899</v>
      </c>
      <c r="N15" s="25">
        <f t="shared" si="5"/>
        <v>11</v>
      </c>
      <c r="O15" s="8">
        <f>10000+MIN(100,메인!$J$2+ROW()-4)*(메인!$J$3-100)</f>
        <v>10110</v>
      </c>
    </row>
    <row r="16" spans="2:15" ht="15" customHeight="1" x14ac:dyDescent="0.3">
      <c r="B16" s="4" t="str">
        <f t="shared" si="6"/>
        <v>0 → 12</v>
      </c>
      <c r="C16" s="19">
        <f ca="1">OFFSET(장비!N14,$E$2,$F$2-3)-OFFSET(장비!$N$2,$E$2,$F$2-3)</f>
        <v>0</v>
      </c>
      <c r="D16" s="20">
        <f>메인!$G$10*(G16-$G$4)/$G$4</f>
        <v>0</v>
      </c>
      <c r="E16" s="21">
        <f t="shared" ca="1" si="1"/>
        <v>0</v>
      </c>
      <c r="F16" s="25">
        <f t="shared" si="4"/>
        <v>12</v>
      </c>
      <c r="G16" s="8">
        <f>_xlfn.FLOOR.MATH((메인!$M$33+(ROW()-4)*$G$1)*(1+메인!$N$33/100))</f>
        <v>113</v>
      </c>
      <c r="J16" s="4" t="str">
        <f t="shared" si="2"/>
        <v>0 → 12</v>
      </c>
      <c r="K16" s="19">
        <f ca="1">OFFSET(장비!N14,$M$2,$N$2-3)-OFFSET(장비!$N$2,$M$2,$N$2-3)</f>
        <v>0</v>
      </c>
      <c r="L16" s="20">
        <f>메인!$G$10*(O16-$O$4)/$O$4</f>
        <v>28.381054433150023</v>
      </c>
      <c r="M16" s="21">
        <f t="shared" ca="1" si="3"/>
        <v>12.000000000000011</v>
      </c>
      <c r="N16" s="25">
        <f t="shared" si="5"/>
        <v>12</v>
      </c>
      <c r="O16" s="8">
        <f>10000+MIN(100,메인!$J$2+ROW()-4)*(메인!$J$3-100)</f>
        <v>10120</v>
      </c>
    </row>
    <row r="17" spans="1:15" ht="15" customHeight="1" x14ac:dyDescent="0.3">
      <c r="F17" s="8"/>
      <c r="G17" s="8"/>
      <c r="N17" s="8"/>
      <c r="O17" s="8"/>
    </row>
    <row r="18" spans="1:15" ht="15" customHeight="1" x14ac:dyDescent="0.3">
      <c r="B18" s="3" t="s">
        <v>69</v>
      </c>
      <c r="C18" s="4" t="s">
        <v>63</v>
      </c>
      <c r="D18" s="4" t="s">
        <v>59</v>
      </c>
      <c r="E18" s="4" t="s">
        <v>68</v>
      </c>
      <c r="F18" s="8"/>
      <c r="G18" s="8"/>
      <c r="J18" s="3" t="s">
        <v>69</v>
      </c>
      <c r="K18" s="4" t="s">
        <v>63</v>
      </c>
      <c r="L18" s="4" t="s">
        <v>59</v>
      </c>
      <c r="M18" s="4" t="s">
        <v>68</v>
      </c>
      <c r="N18" s="8"/>
      <c r="O18" s="8"/>
    </row>
    <row r="19" spans="1:15" ht="15" customHeight="1" x14ac:dyDescent="0.3">
      <c r="A19" s="8">
        <v>3</v>
      </c>
      <c r="B19" s="4" t="str">
        <f ca="1">결정!$A13&amp;" ★"&amp;OFFSET($C$41,0,A19-3)</f>
        <v>레어 ★4</v>
      </c>
      <c r="C19" s="19" cm="1">
        <f t="array" aca="1" ref="C19" ca="1">INDEX(장비!$N$2:$Q$15,OFFSET($C$41,0,A19-3)+1,A19-2)-$B$25</f>
        <v>238.86053041115269</v>
      </c>
      <c r="D19" s="20">
        <f ca="1">메인!$G$10*(G19-$G$4)/$G$4</f>
        <v>4290.6461348051289</v>
      </c>
      <c r="E19" s="21">
        <f t="shared" ref="E19:E22" ca="1" si="7">(G19/$G$4-1)/C19*1000</f>
        <v>7.5950567844451742</v>
      </c>
      <c r="F19" s="8">
        <f ca="1">결정!B13+OFFSET($C$41,0,A19-3)*결정!C13</f>
        <v>205</v>
      </c>
      <c r="G19" s="8">
        <f ca="1">_xlfn.FLOOR.MATH((메인!$M$33+F19-$B$40)*(1+메인!$N$33/100))</f>
        <v>318</v>
      </c>
      <c r="I19" s="8">
        <v>3</v>
      </c>
      <c r="J19" s="4" t="str">
        <f ca="1">결정!$A13&amp;" ★"&amp;OFFSET($K$41,0,I19-3)</f>
        <v>레어 ★4</v>
      </c>
      <c r="K19" s="19" cm="1">
        <f t="array" aca="1" ref="K19" ca="1">INDEX(장비!$N$2:$Q$15,OFFSET($K$41,0,I19-3)+1,I19-2)-$J$25</f>
        <v>238.86053041115269</v>
      </c>
      <c r="L19" s="20">
        <f ca="1">메인!$G$10*(O19-$O$4)/$O$4</f>
        <v>21.285790824862517</v>
      </c>
      <c r="M19" s="21">
        <f ca="1">(O19/$O$4-1)/K19*1000</f>
        <v>3.7678891462344655E-2</v>
      </c>
      <c r="N19" s="8">
        <f ca="1">결정!D13+OFFSET($K$41,0,I19-3)*결정!E13</f>
        <v>9</v>
      </c>
      <c r="O19" s="8">
        <f ca="1">10000+MIN(100,메인!$J$2+N19-$J$40)*(메인!$J$3-100)</f>
        <v>10090</v>
      </c>
    </row>
    <row r="20" spans="1:15" ht="15" customHeight="1" x14ac:dyDescent="0.3">
      <c r="A20" s="8">
        <v>4</v>
      </c>
      <c r="B20" s="4" t="str">
        <f ca="1">결정!$A14&amp;" ★"&amp;OFFSET($C$41,0,A20-3)</f>
        <v>에픽 ★4</v>
      </c>
      <c r="C20" s="19" cm="1">
        <f t="array" aca="1" ref="C20" ca="1">INDEX(장비!$N$2:$Q$15,OFFSET($C$41,0,A20-3)+1,A20-2)-$B$25</f>
        <v>735.37411284243899</v>
      </c>
      <c r="D20" s="20">
        <f ca="1">메인!$G$10*(G20-$G$4)/$G$4</f>
        <v>9209.1917039719847</v>
      </c>
      <c r="E20" s="21">
        <f t="shared" ca="1" si="7"/>
        <v>5.2949991599293602</v>
      </c>
      <c r="F20" s="8">
        <f ca="1">결정!B14+OFFSET($C$41,0,A20-3)*결정!C14</f>
        <v>440</v>
      </c>
      <c r="G20" s="8">
        <f ca="1">_xlfn.FLOOR.MATH((메인!$M$33+F20-$B$40)*(1+메인!$N$33/100))</f>
        <v>553</v>
      </c>
      <c r="I20" s="8">
        <v>4</v>
      </c>
      <c r="J20" s="4" t="str">
        <f ca="1">결정!$A14&amp;" ★"&amp;OFFSET($K$41,0,I20-3)</f>
        <v>에픽 ★3</v>
      </c>
      <c r="K20" s="19" cm="1">
        <f t="array" aca="1" ref="K20" ca="1">INDEX(장비!$N$2:$Q$15,OFFSET($K$41,0,I20-3)+1,I20-2)-$J$25</f>
        <v>686.59362503756097</v>
      </c>
      <c r="L20" s="20">
        <f ca="1">메인!$G$10*(O20-$O$4)/$O$4</f>
        <v>35.47631804143753</v>
      </c>
      <c r="M20" s="21">
        <f t="shared" ref="M20:M22" ca="1" si="8">(O20/$O$4-1)/K20*1000</f>
        <v>2.1846984086371771E-2</v>
      </c>
      <c r="N20" s="8">
        <f ca="1">결정!D14+OFFSET($K$41,0,I20-3)*결정!E14</f>
        <v>15</v>
      </c>
      <c r="O20" s="8">
        <f ca="1">10000+MIN(100,메인!$J$2+N20-$J$40)*(메인!$J$3-100)</f>
        <v>10150</v>
      </c>
    </row>
    <row r="21" spans="1:15" ht="15" customHeight="1" x14ac:dyDescent="0.3">
      <c r="A21" s="8">
        <v>5</v>
      </c>
      <c r="B21" s="4" t="str">
        <f ca="1">결정!$A15&amp;" ★"&amp;OFFSET($C$41,0,A21-3)</f>
        <v>유니크 ★4</v>
      </c>
      <c r="C21" s="19" cm="1">
        <f t="array" aca="1" ref="C21" ca="1">INDEX(장비!$N$2:$Q$15,OFFSET($C$41,0,A21-3)+1,A21-2)-$B$25</f>
        <v>2049.5463932172088</v>
      </c>
      <c r="D21" s="20">
        <f ca="1">메인!$G$10*(G21-$G$4)/$G$4</f>
        <v>16325.385293404881</v>
      </c>
      <c r="E21" s="21">
        <f t="shared" ca="1" si="7"/>
        <v>3.3678939350191626</v>
      </c>
      <c r="F21" s="8">
        <f ca="1">결정!B15+OFFSET($C$41,0,A21-3)*결정!C15</f>
        <v>780</v>
      </c>
      <c r="G21" s="8">
        <f ca="1">_xlfn.FLOOR.MATH((메인!$M$33+F21-$B$40)*(1+메인!$N$33/100))</f>
        <v>893</v>
      </c>
      <c r="I21" s="8">
        <v>5</v>
      </c>
      <c r="J21" s="4" t="str">
        <f ca="1">결정!$A15&amp;" ★"&amp;OFFSET($K$41,0,I21-3)</f>
        <v>유니크 ★0</v>
      </c>
      <c r="K21" s="19" cm="1">
        <f t="array" aca="1" ref="K21" ca="1">INDEX(장비!$N$2:$Q$15,OFFSET($K$41,0,I21-3)+1,I21-2)-$J$25</f>
        <v>1600</v>
      </c>
      <c r="L21" s="20">
        <f ca="1">메인!$G$10*(O21-$O$4)/$O$4</f>
        <v>44.936669519154201</v>
      </c>
      <c r="M21" s="21">
        <f t="shared" ca="1" si="8"/>
        <v>1.1874999999999941E-2</v>
      </c>
      <c r="N21" s="8">
        <f ca="1">결정!D15+OFFSET($K$41,0,I21-3)*결정!E15</f>
        <v>19</v>
      </c>
      <c r="O21" s="8">
        <f ca="1">10000+MIN(100,메인!$J$2+N21-$J$40)*(메인!$J$3-100)</f>
        <v>10190</v>
      </c>
    </row>
    <row r="22" spans="1:15" ht="15" customHeight="1" x14ac:dyDescent="0.3">
      <c r="A22" s="8">
        <v>6</v>
      </c>
      <c r="B22" s="4" t="str">
        <f ca="1">결정!$A16&amp;" ★"&amp;OFFSET($C$41,0,A22-3)</f>
        <v>레전드리 ★4</v>
      </c>
      <c r="C22" s="19" cm="1">
        <f t="array" aca="1" ref="C22" ca="1">INDEX(장비!$N$2:$Q$15,OFFSET($C$41,0,A22-3)+1,A22-2)-$B$25</f>
        <v>6981.0088401858793</v>
      </c>
      <c r="D22" s="20">
        <f ca="1">메인!$G$10*(G22-$G$4)/$G$4</f>
        <v>26057.826526011639</v>
      </c>
      <c r="E22" s="21">
        <f t="shared" ca="1" si="7"/>
        <v>1.5782388143704007</v>
      </c>
      <c r="F22" s="8">
        <f ca="1">결정!B16+OFFSET($C$41,0,A22-3)*결정!C16</f>
        <v>1245</v>
      </c>
      <c r="G22" s="8">
        <f ca="1">_xlfn.FLOOR.MATH((메인!$M$33+F22-$B$40)*(1+메인!$N$33/100))</f>
        <v>1358</v>
      </c>
      <c r="I22" s="8">
        <v>6</v>
      </c>
      <c r="J22" s="4" t="str">
        <f ca="1">결정!$A16&amp;" ★"&amp;OFFSET($K$41,0,I22-3)</f>
        <v>레전드리 ★0</v>
      </c>
      <c r="K22" s="19" cm="1">
        <f t="array" aca="1" ref="K22" ca="1">INDEX(장비!$N$2:$Q$15,OFFSET($K$41,0,I22-3)+1,I22-2)-$J$25</f>
        <v>5857.1428571428569</v>
      </c>
      <c r="L22" s="20">
        <f ca="1">메인!$G$10*(O22-$O$4)/$O$4</f>
        <v>61.492284605158389</v>
      </c>
      <c r="M22" s="21">
        <f t="shared" ca="1" si="8"/>
        <v>4.4390243902439064E-3</v>
      </c>
      <c r="N22" s="8">
        <f ca="1">결정!D16+OFFSET($K$41,0,I22-3)*결정!E16</f>
        <v>26</v>
      </c>
      <c r="O22" s="8">
        <f ca="1">10000+MIN(100,메인!$J$2+N22-$J$40)*(메인!$J$3-100)</f>
        <v>10260</v>
      </c>
    </row>
    <row r="24" spans="1:15" ht="15" customHeight="1" x14ac:dyDescent="0.3">
      <c r="B24" s="2" t="s">
        <v>70</v>
      </c>
    </row>
    <row r="25" spans="1:15" ht="15" customHeight="1" x14ac:dyDescent="0.3">
      <c r="B25" s="23" cm="1">
        <f t="array" ref="B25">IF(F2=1,0,INDEX(장비!$T$2:$X$14,E2+1,F2-1))</f>
        <v>0</v>
      </c>
      <c r="C25" s="8" t="s">
        <v>74</v>
      </c>
      <c r="D25" s="8" t="s">
        <v>72</v>
      </c>
      <c r="E25" s="8" t="s">
        <v>73</v>
      </c>
      <c r="F25" s="8" t="s">
        <v>71</v>
      </c>
      <c r="G25" s="8"/>
      <c r="H25" s="8"/>
      <c r="I25" s="8"/>
      <c r="J25" s="23" cm="1">
        <f t="array" ref="J25">IF(N2=1,0,INDEX(장비!$T$2:$X$14,M2+1,N2-1))</f>
        <v>0</v>
      </c>
      <c r="K25" s="8" t="s">
        <v>74</v>
      </c>
      <c r="L25" s="8" t="s">
        <v>72</v>
      </c>
      <c r="M25" s="8" t="s">
        <v>73</v>
      </c>
      <c r="N25" s="8" t="s">
        <v>71</v>
      </c>
    </row>
    <row r="26" spans="1:15" ht="15" customHeight="1" x14ac:dyDescent="0.3">
      <c r="B26" s="23">
        <v>0</v>
      </c>
      <c r="C26" s="24">
        <f>IF((결정!$B$13+$B26*결정!$C$13-$B$40)&gt;0,(장비!N2-$B$25)/(결정!$B$13+$B26*결정!$C$13-$B$40),"")</f>
        <v>1.6326530612244896</v>
      </c>
      <c r="D26" s="24">
        <f>IF((결정!$B$14+$B26*결정!$C$14-$B$40)&gt;0,(장비!O2-$B$25)/(결정!$B$14+$B26*결정!$C$14-$B$40),"")</f>
        <v>1.9841269841269842</v>
      </c>
      <c r="E26" s="24">
        <f>IF((결정!$B$15+$B26*결정!$C$15-$B$40)&gt;0,(장비!P2-$B$25)/(결정!$B$15+$B26*결정!$C$15-$B$40),"")</f>
        <v>2.8571428571428572</v>
      </c>
      <c r="F26" s="24">
        <f>IF((결정!$B$16+$B26*결정!$C$16-$B$40)&gt;0,(장비!Q2-$B$25)/(결정!$B$16+$B26*결정!$C$16-$B$40),"")</f>
        <v>6.1980347694633409</v>
      </c>
      <c r="G26" s="8"/>
      <c r="H26" s="8"/>
      <c r="I26" s="8"/>
      <c r="J26" s="23">
        <v>0</v>
      </c>
      <c r="K26" s="24">
        <f>IF((MIN(결정!$D$13+$J26*결정!$E$13,100-$J$41)-$J$40)&lt;=0,"",(장비!N2-$J$25)/(MIN(결정!$D$13+$J26*결정!$E$13,100-$J$41)-$J$40))</f>
        <v>34.285714285714285</v>
      </c>
      <c r="L26" s="24">
        <f>IF((MIN(결정!$D$14+$J26*결정!$E$14,100-$J$41)-$J$40)&lt;=0,"",(장비!O2-$J$25)/(MIN(결정!$D$14+$J26*결정!$E$14,100-$J$41)-$J$40))</f>
        <v>46.296296296296298</v>
      </c>
      <c r="M26" s="24">
        <f>IF((MIN(결정!$D$15+$J26*결정!$E$15,100-$J$41)-$J$40)&lt;=0,"",(장비!P2-$J$25)/(MIN(결정!$D$15+$J26*결정!$E$15,100-$J$41)-$J$40))</f>
        <v>84.21052631578948</v>
      </c>
      <c r="N26" s="24">
        <f>IF((MIN(결정!$D$16+$J26*결정!$E$16,100-$J$41)-$J$40)&lt;=0,"",(장비!Q2-$J$25)/(MIN(결정!$D$16+$J26*결정!$E$16,100-$J$41)-$J$40))</f>
        <v>225.27472527472526</v>
      </c>
    </row>
    <row r="27" spans="1:15" ht="15" customHeight="1" x14ac:dyDescent="0.3">
      <c r="B27" s="23">
        <v>1</v>
      </c>
      <c r="C27" s="24">
        <f>IF((결정!$B$13+$B27*결정!$C$13-$B$40)&gt;0,(장비!N3-$B$25)/(결정!$B$13+$B27*결정!$C$13-$B$40),"")</f>
        <v>1.440138808559861</v>
      </c>
      <c r="D27" s="24">
        <f>IF((결정!$B$14+$B27*결정!$C$14-$B$40)&gt;0,(장비!O3-$B$25)/(결정!$B$14+$B27*결정!$C$14-$B$40),"")</f>
        <v>1.867690058479532</v>
      </c>
      <c r="E27" s="24">
        <f>IF((결정!$B$15+$B27*결정!$C$15-$B$40)&gt;0,(장비!P3-$B$25)/(결정!$B$15+$B27*결정!$C$15-$B$40),"")</f>
        <v>2.772785622593068</v>
      </c>
      <c r="F27" s="24">
        <f>IF((결정!$B$16+$B27*결정!$C$16-$B$40)&gt;0,(장비!Q3-$B$25)/(결정!$B$16+$B27*결정!$C$16-$B$40),"")</f>
        <v>6.0002948547840189</v>
      </c>
      <c r="G27" s="8"/>
      <c r="H27" s="8"/>
      <c r="I27" s="8"/>
      <c r="J27" s="23">
        <v>1</v>
      </c>
      <c r="K27" s="24">
        <f>IF((MIN(결정!$D$13+$J27*결정!$E$13,100-$J$41)-$J$40)&lt;=0,"",(장비!N3-$J$25)/(MIN(결정!$D$13+$J27*결정!$E$13,100-$J$41)-$J$40))</f>
        <v>31.203007518796991</v>
      </c>
      <c r="L27" s="24">
        <f>IF((MIN(결정!$D$14+$J27*결정!$E$14,100-$J$41)-$J$40)&lt;=0,"",(장비!O3-$J$25)/(MIN(결정!$D$14+$J27*결정!$E$14,100-$J$41)-$J$40))</f>
        <v>45.973909131803865</v>
      </c>
      <c r="M27" s="24">
        <f>IF((MIN(결정!$D$15+$J27*결정!$E$15,100-$J$41)-$J$40)&lt;=0,"",(장비!P3-$J$25)/(MIN(결정!$D$15+$J27*결정!$E$15,100-$J$41)-$J$40))</f>
        <v>85.26315789473685</v>
      </c>
      <c r="N27" s="24">
        <f>IF((MIN(결정!$D$16+$J27*결정!$E$16,100-$J$41)-$J$40)&lt;=0,"",(장비!Q3-$J$25)/(MIN(결정!$D$16+$J27*결정!$E$16,100-$J$41)-$J$40))</f>
        <v>226.67780562517405</v>
      </c>
    </row>
    <row r="28" spans="1:15" ht="15" customHeight="1" x14ac:dyDescent="0.3">
      <c r="B28" s="23">
        <v>2</v>
      </c>
      <c r="C28" s="24">
        <f>IF((결정!$B$13+$B28*결정!$C$13-$B$40)&gt;0,(장비!N4-$B$25)/(결정!$B$13+$B28*결정!$C$13-$B$40),"")</f>
        <v>1.3130476963797995</v>
      </c>
      <c r="D28" s="24">
        <f>IF((결정!$B$14+$B28*결정!$C$14-$B$40)&gt;0,(장비!O4-$B$25)/(결정!$B$14+$B28*결정!$C$14-$B$40),"")</f>
        <v>1.7809418877305985</v>
      </c>
      <c r="E28" s="24">
        <f>IF((결정!$B$15+$B28*결정!$C$15-$B$40)&gt;0,(장비!P4-$B$25)/(결정!$B$15+$B28*결정!$C$15-$B$40),"")</f>
        <v>2.7074012090576862</v>
      </c>
      <c r="F28" s="24">
        <f>IF((결정!$B$16+$B28*결정!$C$16-$B$40)&gt;0,(장비!Q4-$B$25)/(결정!$B$16+$B28*결정!$C$16-$B$40),"")</f>
        <v>5.8374793445794362</v>
      </c>
      <c r="G28" s="8"/>
      <c r="H28" s="8"/>
      <c r="I28" s="8"/>
      <c r="J28" s="23">
        <v>2</v>
      </c>
      <c r="K28" s="24">
        <f>IF((MIN(결정!$D$13+$J28*결정!$E$13,100-$J$41)-$J$40)&lt;=0,"",(장비!N4-$J$25)/(MIN(결정!$D$13+$J28*결정!$E$13,100-$J$41)-$J$40))</f>
        <v>29.074627562695557</v>
      </c>
      <c r="L28" s="24">
        <f>IF((MIN(결정!$D$14+$J28*결정!$E$14,100-$J$41)-$J$40)&lt;=0,"",(장비!O4-$J$25)/(MIN(결정!$D$14+$J28*결정!$E$14,100-$J$41)-$J$40))</f>
        <v>45.795648541643963</v>
      </c>
      <c r="M28" s="24">
        <f>IF((MIN(결정!$D$15+$J28*결정!$E$15,100-$J$41)-$J$40)&lt;=0,"",(장비!P4-$J$25)/(MIN(결정!$D$15+$J28*결정!$E$15,100-$J$41)-$J$40))</f>
        <v>86.378990955649996</v>
      </c>
      <c r="N28" s="24">
        <f>IF((MIN(결정!$D$16+$J28*결정!$E$16,100-$J$41)-$J$40)&lt;=0,"",(장비!Q4-$J$25)/(MIN(결정!$D$16+$J28*결정!$E$16,100-$J$41)-$J$40))</f>
        <v>228.28713865408866</v>
      </c>
    </row>
    <row r="29" spans="1:15" ht="15" customHeight="1" x14ac:dyDescent="0.3">
      <c r="B29" s="23">
        <v>3</v>
      </c>
      <c r="C29" s="24">
        <f>IF((결정!$B$13+$B29*결정!$C$13-$B$40)&gt;0,(장비!N5-$B$25)/(결정!$B$13+$B29*결정!$C$13-$B$40),"")</f>
        <v>1.2253769304684636</v>
      </c>
      <c r="D29" s="24">
        <f>IF((결정!$B$14+$B29*결정!$C$14-$B$40)&gt;0,(장비!O5-$B$25)/(결정!$B$14+$B29*결정!$C$14-$B$40),"")</f>
        <v>1.7164840625939024</v>
      </c>
      <c r="E29" s="24">
        <f>IF((결정!$B$15+$B29*결정!$C$15-$B$40)&gt;0,(장비!P5-$B$25)/(결정!$B$15+$B29*결정!$C$15-$B$40),"")</f>
        <v>2.6587519637310533</v>
      </c>
      <c r="F29" s="24">
        <f>IF((결정!$B$16+$B29*결정!$C$16-$B$40)&gt;0,(장비!Q5-$B$25)/(결정!$B$16+$B29*결정!$C$16-$B$40),"")</f>
        <v>5.7060946935088817</v>
      </c>
      <c r="G29" s="8"/>
      <c r="H29" s="8"/>
      <c r="I29" s="8"/>
      <c r="J29" s="23">
        <v>3</v>
      </c>
      <c r="K29" s="24">
        <f>IF((MIN(결정!$D$13+$J29*결정!$E$13,100-$J$41)-$J$40)&lt;=0,"",(장비!N5-$J$25)/(MIN(결정!$D$13+$J29*결정!$E$13,100-$J$41)-$J$40))</f>
        <v>27.57098093554043</v>
      </c>
      <c r="L29" s="24">
        <f>IF((MIN(결정!$D$14+$J29*결정!$E$14,100-$J$41)-$J$40)&lt;=0,"",(장비!O5-$J$25)/(MIN(결정!$D$14+$J29*결정!$E$14,100-$J$41)-$J$40))</f>
        <v>45.7729083358374</v>
      </c>
      <c r="M29" s="24">
        <f>IF((MIN(결정!$D$15+$J29*결정!$E$15,100-$J$41)-$J$40)&lt;=0,"",(장비!P5-$J$25)/(MIN(결정!$D$15+$J29*결정!$E$15,100-$J$41)-$J$40))</f>
        <v>87.617962441136982</v>
      </c>
      <c r="N29" s="24">
        <f>IF((MIN(결정!$D$16+$J29*결정!$E$16,100-$J$41)-$J$40)&lt;=0,"",(장비!Q5-$J$25)/(MIN(결정!$D$16+$J29*결정!$E$16,100-$J$41)-$J$40))</f>
        <v>230.21140660018591</v>
      </c>
    </row>
    <row r="30" spans="1:15" ht="15" customHeight="1" x14ac:dyDescent="0.3">
      <c r="B30" s="23">
        <v>4</v>
      </c>
      <c r="C30" s="24">
        <f>IF((결정!$B$13+$B30*결정!$C$13-$B$40)&gt;0,(장비!N6-$B$25)/(결정!$B$13+$B30*결정!$C$13-$B$40),"")</f>
        <v>1.1651733190787936</v>
      </c>
      <c r="D30" s="24">
        <f>IF((결정!$B$14+$B30*결정!$C$14-$B$40)&gt;0,(장비!O6-$B$25)/(결정!$B$14+$B30*결정!$C$14-$B$40),"")</f>
        <v>1.6713048019146342</v>
      </c>
      <c r="E30" s="24">
        <f>IF((결정!$B$15+$B30*결정!$C$15-$B$40)&gt;0,(장비!P6-$B$25)/(결정!$B$15+$B30*결정!$C$15-$B$40),"")</f>
        <v>2.6276235810477035</v>
      </c>
      <c r="F30" s="24">
        <f>IF((결정!$B$16+$B30*결정!$C$16-$B$40)&gt;0,(장비!Q6-$B$25)/(결정!$B$16+$B30*결정!$C$16-$B$40),"")</f>
        <v>5.6072360162135579</v>
      </c>
      <c r="G30" s="8"/>
      <c r="H30" s="8"/>
      <c r="I30" s="8"/>
      <c r="J30" s="23">
        <v>4</v>
      </c>
      <c r="K30" s="24">
        <f>IF((MIN(결정!$D$13+$J30*결정!$E$13,100-$J$41)-$J$40)&lt;=0,"",(장비!N6-$J$25)/(MIN(결정!$D$13+$J30*결정!$E$13,100-$J$41)-$J$40))</f>
        <v>26.540058934572521</v>
      </c>
      <c r="L30" s="24">
        <f>IF((MIN(결정!$D$14+$J30*결정!$E$14,100-$J$41)-$J$40)&lt;=0,"",(장비!O6-$J$25)/(MIN(결정!$D$14+$J30*결정!$E$14,100-$J$41)-$J$40))</f>
        <v>45.960882052652437</v>
      </c>
      <c r="M30" s="24">
        <f>IF((MIN(결정!$D$15+$J30*결정!$E$15,100-$J$41)-$J$40)&lt;=0,"",(장비!P6-$J$25)/(MIN(결정!$D$15+$J30*결정!$E$15,100-$J$41)-$J$40))</f>
        <v>89.110712748574301</v>
      </c>
      <c r="N30" s="24">
        <f>IF((MIN(결정!$D$16+$J30*결정!$E$16,100-$J$41)-$J$40)&lt;=0,"",(장비!Q6-$J$25)/(MIN(결정!$D$16+$J30*결정!$E$16,100-$J$41)-$J$40))</f>
        <v>232.70029467286264</v>
      </c>
    </row>
    <row r="31" spans="1:15" ht="15" customHeight="1" x14ac:dyDescent="0.3">
      <c r="B31" s="23">
        <v>5</v>
      </c>
      <c r="C31" s="24">
        <f>IF((결정!$B$13+$B31*결정!$C$13-$B$40)&gt;0,(장비!N7-$B$25)/(결정!$B$13+$B31*결정!$C$13-$B$40),"")</f>
        <v>1.1834515814977653</v>
      </c>
      <c r="D31" s="24">
        <f>IF((결정!$B$14+$B31*결정!$C$14-$B$40)&gt;0,(장비!O7-$B$25)/(결정!$B$14+$B31*결정!$C$14-$B$40),"")</f>
        <v>1.7125849573106366</v>
      </c>
      <c r="E31" s="24">
        <f>IF((결정!$B$15+$B31*결정!$C$15-$B$40)&gt;0,(장비!P7-$B$25)/(결정!$B$15+$B31*결정!$C$15-$B$40),"")</f>
        <v>2.710035600659332</v>
      </c>
      <c r="F31" s="24">
        <f>IF((결정!$B$16+$B31*결정!$C$16-$B$40)&gt;0,(장비!Q7-$B$25)/(결정!$B$16+$B31*결정!$C$16-$B$40),"")</f>
        <v>5.6926834647872822</v>
      </c>
      <c r="G31" s="8"/>
      <c r="H31" s="8"/>
      <c r="I31" s="8"/>
      <c r="J31" s="23">
        <v>5</v>
      </c>
      <c r="K31" s="24">
        <f>IF((MIN(결정!$D$13+$J31*결정!$E$13,100-$J$41)-$J$40)&lt;=0,"",(장비!N7-$J$25)/(MIN(결정!$D$13+$J31*결정!$E$13,100-$J$41)-$J$40))</f>
        <v>27.2193863744486</v>
      </c>
      <c r="L31" s="24">
        <f>IF((MIN(결정!$D$14+$J31*결정!$E$14,100-$J$41)-$J$40)&lt;=0,"",(장비!O7-$J$25)/(MIN(결정!$D$14+$J31*결정!$E$14,100-$J$41)-$J$40))</f>
        <v>48.355339971123861</v>
      </c>
      <c r="M31" s="24">
        <f>IF((MIN(결정!$D$15+$J31*결정!$E$15,100-$J$41)-$J$40)&lt;=0,"",(장비!P7-$J$25)/(MIN(결정!$D$15+$J31*결정!$E$15,100-$J$41)-$J$40))</f>
        <v>94.286655272939257</v>
      </c>
      <c r="N31" s="24">
        <f>IF((MIN(결정!$D$16+$J31*결정!$E$16,100-$J$41)-$J$40)&lt;=0,"",(장비!Q7-$J$25)/(MIN(결정!$D$16+$J31*결정!$E$16,100-$J$41)-$J$40))</f>
        <v>242.39813462965202</v>
      </c>
    </row>
    <row r="32" spans="1:15" ht="15" customHeight="1" x14ac:dyDescent="0.3">
      <c r="B32" s="23">
        <v>6</v>
      </c>
      <c r="C32" s="24">
        <f>IF((결정!$B$13+$B32*결정!$C$13-$B$40)&gt;0,(장비!N8-$B$25)/(결정!$B$13+$B32*결정!$C$13-$B$40),"")</f>
        <v>1.2159711828363682</v>
      </c>
      <c r="D32" s="24">
        <f>IF((결정!$B$14+$B32*결정!$C$14-$B$40)&gt;0,(장비!O8-$B$25)/(결정!$B$14+$B32*결정!$C$14-$B$40),"")</f>
        <v>1.7702415922960657</v>
      </c>
      <c r="E32" s="24">
        <f>IF((결정!$B$15+$B32*결정!$C$15-$B$40)&gt;0,(장비!P8-$B$25)/(결정!$B$15+$B32*결정!$C$15-$B$40),"")</f>
        <v>2.8149482797469494</v>
      </c>
      <c r="F32" s="24">
        <f>IF((결정!$B$16+$B32*결정!$C$16-$B$40)&gt;0,(장비!Q8-$B$25)/(결정!$B$16+$B32*결정!$C$16-$B$40),"")</f>
        <v>5.8210772613475399</v>
      </c>
      <c r="G32" s="8"/>
      <c r="H32" s="8"/>
      <c r="I32" s="8"/>
      <c r="J32" s="23">
        <v>6</v>
      </c>
      <c r="K32" s="24">
        <f>IF((MIN(결정!$D$13+$J32*결정!$E$13,100-$J$41)-$J$40)&lt;=0,"",(장비!N8-$J$25)/(MIN(결정!$D$13+$J32*결정!$E$13,100-$J$41)-$J$40))</f>
        <v>28.188422874843081</v>
      </c>
      <c r="L32" s="24">
        <f>IF((MIN(결정!$D$14+$J32*결정!$E$14,100-$J$41)-$J$40)&lt;=0,"",(장비!O8-$J$25)/(MIN(결정!$D$14+$J32*결정!$E$14,100-$J$41)-$J$40))</f>
        <v>51.140312666330786</v>
      </c>
      <c r="M32" s="24">
        <f>IF((MIN(결정!$D$15+$J32*결정!$E$15,100-$J$41)-$J$40)&lt;=0,"",(장비!P8-$J$25)/(MIN(결정!$D$15+$J32*결정!$E$15,100-$J$41)-$J$40))</f>
        <v>100.21215875899139</v>
      </c>
      <c r="N32" s="24">
        <f>IF((MIN(결정!$D$16+$J32*결정!$E$16,100-$J$41)-$J$40)&lt;=0,"",(장비!Q8-$J$25)/(MIN(결정!$D$16+$J32*결정!$E$16,100-$J$41)-$J$40))</f>
        <v>253.76258686186932</v>
      </c>
    </row>
    <row r="33" spans="2:14" ht="15" customHeight="1" x14ac:dyDescent="0.3">
      <c r="B33" s="23">
        <v>7</v>
      </c>
      <c r="C33" s="24">
        <f>IF((결정!$B$13+$B33*결정!$C$13-$B$40)&gt;0,(장비!N9-$B$25)/(결정!$B$13+$B33*결정!$C$13-$B$40),"")</f>
        <v>1.2668411027361823</v>
      </c>
      <c r="D33" s="24">
        <f>IF((결정!$B$14+$B33*결정!$C$14-$B$40)&gt;0,(장비!O9-$B$25)/(결정!$B$14+$B33*결정!$C$14-$B$40),"")</f>
        <v>1.8510661724381834</v>
      </c>
      <c r="E33" s="24">
        <f>IF((결정!$B$15+$B33*결정!$C$15-$B$40)&gt;0,(장비!P9-$B$25)/(결정!$B$15+$B33*결정!$C$15-$B$40),"")</f>
        <v>2.9534584705704452</v>
      </c>
      <c r="F33" s="24">
        <f>IF((결정!$B$16+$B33*결정!$C$16-$B$40)&gt;0,(장비!Q9-$B$25)/(결정!$B$16+$B33*결정!$C$16-$B$40),"")</f>
        <v>6.0099921726976415</v>
      </c>
      <c r="G33" s="8"/>
      <c r="H33" s="8"/>
      <c r="I33" s="8"/>
      <c r="J33" s="23">
        <v>7</v>
      </c>
      <c r="K33" s="24">
        <f>IF((MIN(결정!$D$13+$J33*결정!$E$13,100-$J$41)-$J$40)&lt;=0,"",(장비!N9-$J$25)/(MIN(결정!$D$13+$J33*결정!$E$13,100-$J$41)-$J$40))</f>
        <v>29.55962573051092</v>
      </c>
      <c r="L33" s="24">
        <f>IF((MIN(결정!$D$14+$J33*결정!$E$14,100-$J$41)-$J$40)&lt;=0,"",(장비!O9-$J$25)/(MIN(결정!$D$14+$J33*결정!$E$14,100-$J$41)-$J$40))</f>
        <v>54.557739819230669</v>
      </c>
      <c r="M33" s="24">
        <f>IF((MIN(결정!$D$15+$J33*결정!$E$15,100-$J$41)-$J$40)&lt;=0,"",(장비!P9-$J$25)/(MIN(결정!$D$15+$J33*결정!$E$15,100-$J$41)-$J$40))</f>
        <v>107.34685594957963</v>
      </c>
      <c r="N33" s="24">
        <f>IF((MIN(결정!$D$16+$J33*결정!$E$16,100-$J$41)-$J$40)&lt;=0,"",(장비!Q9-$J$25)/(MIN(결정!$D$16+$J33*결정!$E$16,100-$J$41)-$J$40))</f>
        <v>267.71783314744039</v>
      </c>
    </row>
    <row r="34" spans="2:14" ht="15" customHeight="1" x14ac:dyDescent="0.3">
      <c r="B34" s="23">
        <v>8</v>
      </c>
      <c r="C34" s="24">
        <f>IF((결정!$B$13+$B34*결정!$C$13-$B$40)&gt;0,(장비!N10-$B$25)/(결정!$B$13+$B34*결정!$C$13-$B$40),"")</f>
        <v>1.5273003930401381</v>
      </c>
      <c r="D34" s="24">
        <f>IF((결정!$B$14+$B34*결정!$C$14-$B$40)&gt;0,(장비!O10-$B$25)/(결정!$B$14+$B34*결정!$C$14-$B$40),"")</f>
        <v>2.209143242423786</v>
      </c>
      <c r="E34" s="24">
        <f>IF((결정!$B$15+$B34*결정!$C$15-$B$40)&gt;0,(장비!P10-$B$25)/(결정!$B$15+$B34*결정!$C$15-$B$40),"")</f>
        <v>3.5021293658001813</v>
      </c>
      <c r="F34" s="24">
        <f>IF((결정!$B$16+$B34*결정!$C$16-$B$40)&gt;0,(장비!Q10-$B$25)/(결정!$B$16+$B34*결정!$C$16-$B$40),"")</f>
        <v>6.8689102081833724</v>
      </c>
      <c r="G34" s="8"/>
      <c r="H34" s="8"/>
      <c r="I34" s="8"/>
      <c r="J34" s="23">
        <v>8</v>
      </c>
      <c r="K34" s="24">
        <f>IF((MIN(결정!$D$13+$J34*결정!$E$13,100-$J$41)-$J$40)&lt;=0,"",(장비!N10-$J$25)/(MIN(결정!$D$13+$J34*결정!$E$13,100-$J$41)-$J$40))</f>
        <v>35.832816913634012</v>
      </c>
      <c r="L34" s="24">
        <f>IF((MIN(결정!$D$14+$J34*결정!$E$14,100-$J$41)-$J$40)&lt;=0,"",(장비!O10-$J$25)/(MIN(결정!$D$14+$J34*결정!$E$14,100-$J$41)-$J$40))</f>
        <v>66.274297272713582</v>
      </c>
      <c r="M34" s="24">
        <f>IF((MIN(결정!$D$15+$J34*결정!$E$15,100-$J$41)-$J$40)&lt;=0,"",(장비!P10-$J$25)/(MIN(결정!$D$15+$J34*결정!$E$15,100-$J$41)-$J$40))</f>
        <v>129.70849502963634</v>
      </c>
      <c r="N34" s="24">
        <f>IF((MIN(결정!$D$16+$J34*결정!$E$16,100-$J$41)-$J$40)&lt;=0,"",(장비!Q10-$J$25)/(MIN(결정!$D$16+$J34*결정!$E$16,100-$J$41)-$J$40))</f>
        <v>312.13136093068562</v>
      </c>
    </row>
    <row r="35" spans="2:14" ht="15" customHeight="1" x14ac:dyDescent="0.3">
      <c r="B35" s="23">
        <v>9</v>
      </c>
      <c r="C35" s="24">
        <f>IF((결정!$B$13+$B35*결정!$C$13-$B$40)&gt;0,(장비!N11-$B$25)/(결정!$B$13+$B35*결정!$C$13-$B$40),"")</f>
        <v>1.8444962507102576</v>
      </c>
      <c r="D35" s="24">
        <f>IF((결정!$B$14+$B35*결정!$C$14-$B$40)&gt;0,(장비!O11-$B$25)/(결정!$B$14+$B35*결정!$C$14-$B$40),"")</f>
        <v>2.6514289326294422</v>
      </c>
      <c r="E35" s="24">
        <f>IF((결정!$B$15+$B35*결정!$C$15-$B$40)&gt;0,(장비!P11-$B$25)/(결정!$B$15+$B35*결정!$C$15-$B$40),"")</f>
        <v>4.186175431361038</v>
      </c>
      <c r="F35" s="24">
        <f>IF((결정!$B$16+$B35*결정!$C$16-$B$40)&gt;0,(장비!Q11-$B$25)/(결정!$B$16+$B35*결정!$C$16-$B$40),"")</f>
        <v>7.9618398502207386</v>
      </c>
      <c r="G35" s="8"/>
      <c r="H35" s="8"/>
      <c r="I35" s="8"/>
      <c r="J35" s="23">
        <v>9</v>
      </c>
      <c r="K35" s="24">
        <f>IF((MIN(결정!$D$13+$J35*결정!$E$13,100-$J$41)-$J$40)&lt;=0,"",(장비!N11-$J$25)/(MIN(결정!$D$13+$J35*결정!$E$13,100-$J$41)-$J$40))</f>
        <v>43.477411623884642</v>
      </c>
      <c r="L35" s="24">
        <f>IF((MIN(결정!$D$14+$J35*결정!$E$14,100-$J$41)-$J$40)&lt;=0,"",(장비!O11-$J$25)/(MIN(결정!$D$14+$J35*결정!$E$14,100-$J$41)-$J$40))</f>
        <v>80.805453184897289</v>
      </c>
      <c r="M35" s="24">
        <f>IF((MIN(결정!$D$15+$J35*결정!$E$15,100-$J$41)-$J$40)&lt;=0,"",(장비!P11-$J$25)/(MIN(결정!$D$15+$J35*결정!$E$15,100-$J$41)-$J$40))</f>
        <v>157.72911000306769</v>
      </c>
      <c r="N35" s="24">
        <f>IF((MIN(결정!$D$16+$J35*결정!$E$16,100-$J$41)-$J$40)&lt;=0,"",(장비!Q11-$J$25)/(MIN(결정!$D$16+$J35*결정!$E$16,100-$J$41)-$J$40))</f>
        <v>368.51944449593134</v>
      </c>
    </row>
    <row r="36" spans="2:14" ht="15" customHeight="1" x14ac:dyDescent="0.3">
      <c r="B36" s="23">
        <v>10</v>
      </c>
      <c r="C36" s="24">
        <f>IF((결정!$B$13+$B36*결정!$C$13-$B$40)&gt;0,(장비!N12-$B$25)/(결정!$B$13+$B36*결정!$C$13-$B$40),"")</f>
        <v>2.2362505575199161</v>
      </c>
      <c r="D36" s="24">
        <f>IF((결정!$B$14+$B36*결정!$C$14-$B$40)&gt;0,(장비!O12-$B$25)/(결정!$B$14+$B36*결정!$C$14-$B$40),"")</f>
        <v>3.2035235270063596</v>
      </c>
      <c r="E36" s="24">
        <f>IF((결정!$B$15+$B36*결정!$C$15-$B$40)&gt;0,(장비!P12-$B$25)/(결정!$B$15+$B36*결정!$C$15-$B$40),"")</f>
        <v>5.0464867254694417</v>
      </c>
      <c r="F36" s="24">
        <f>IF((결정!$B$16+$B36*결정!$C$16-$B$40)&gt;0,(장비!Q12-$B$25)/(결정!$B$16+$B36*결정!$C$16-$B$40),"")</f>
        <v>9.3576067966492982</v>
      </c>
      <c r="G36" s="8"/>
      <c r="H36" s="8"/>
      <c r="I36" s="8"/>
      <c r="J36" s="23">
        <v>10</v>
      </c>
      <c r="K36" s="24">
        <f>IF((MIN(결정!$D$13+$J36*결정!$E$13,100-$J$41)-$J$40)&lt;=0,"",(장비!N12-$J$25)/(MIN(결정!$D$13+$J36*결정!$E$13,100-$J$41)-$J$40))</f>
        <v>52.924596527971353</v>
      </c>
      <c r="L36" s="24">
        <f>IF((MIN(결정!$D$14+$J36*결정!$E$14,100-$J$41)-$J$40)&lt;=0,"",(장비!O12-$J$25)/(MIN(결정!$D$14+$J36*결정!$E$14,100-$J$41)-$J$40))</f>
        <v>99.017999925651111</v>
      </c>
      <c r="M36" s="24">
        <f>IF((MIN(결정!$D$15+$J36*결정!$E$15,100-$J$41)-$J$40)&lt;=0,"",(장비!P12-$J$25)/(MIN(결정!$D$15+$J36*결정!$E$15,100-$J$41)-$J$40))</f>
        <v>193.15862983693381</v>
      </c>
      <c r="N36" s="24">
        <f>IF((MIN(결정!$D$16+$J36*결정!$E$16,100-$J$41)-$J$40)&lt;=0,"",(장비!Q12-$J$25)/(MIN(결정!$D$16+$J36*결정!$E$16,100-$J$41)-$J$40))</f>
        <v>440.58732000890444</v>
      </c>
    </row>
    <row r="37" spans="2:14" ht="15" customHeight="1" x14ac:dyDescent="0.3">
      <c r="B37" s="23">
        <v>11</v>
      </c>
      <c r="C37" s="24">
        <f>IF((결정!$B$13+$B37*결정!$C$13-$B$40)&gt;0,(장비!N13-$B$25)/(결정!$B$13+$B37*결정!$C$13-$B$40),"")</f>
        <v>3.273339336630448</v>
      </c>
      <c r="D37" s="24">
        <f>IF((결정!$B$14+$B37*결정!$C$14-$B$40)&gt;0,(장비!O13-$B$25)/(결정!$B$14+$B37*결정!$C$14-$B$40),"")</f>
        <v>4.6227722199504502</v>
      </c>
      <c r="E37" s="24">
        <f>IF((결정!$B$15+$B37*결정!$C$15-$B$40)&gt;0,(장비!P13-$B$25)/(결정!$B$15+$B37*결정!$C$15-$B$40),"")</f>
        <v>7.2116740474429886</v>
      </c>
      <c r="F37" s="24">
        <f>IF((결정!$B$16+$B37*결정!$C$16-$B$40)&gt;0,(장비!Q13-$B$25)/(결정!$B$16+$B37*결정!$C$16-$B$40),"")</f>
        <v>12.91590029396642</v>
      </c>
      <c r="G37" s="8"/>
      <c r="H37" s="8"/>
      <c r="I37" s="8"/>
      <c r="J37" s="23">
        <v>11</v>
      </c>
      <c r="K37" s="24">
        <f>IF((MIN(결정!$D$13+$J37*결정!$E$13,100-$J$41)-$J$40)&lt;=0,"",(장비!N13-$J$25)/(MIN(결정!$D$13+$J37*결정!$E$13,100-$J$41)-$J$40))</f>
        <v>77.74180924497314</v>
      </c>
      <c r="L37" s="24">
        <f>IF((MIN(결정!$D$14+$J37*결정!$E$14,100-$J$41)-$J$40)&lt;=0,"",(장비!O13-$J$25)/(MIN(결정!$D$14+$J37*결정!$E$14,100-$J$41)-$J$40))</f>
        <v>144.71286949410106</v>
      </c>
      <c r="M37" s="24">
        <f>IF((MIN(결정!$D$15+$J37*결정!$E$15,100-$J$41)-$J$40)&lt;=0,"",(장비!P13-$J$25)/(MIN(결정!$D$15+$J37*결정!$E$15,100-$J$41)-$J$40))</f>
        <v>280.05334217570271</v>
      </c>
      <c r="N37" s="24">
        <f>IF((MIN(결정!$D$16+$J37*결정!$E$16,100-$J$41)-$J$40)&lt;=0,"",(장비!Q13-$J$25)/(MIN(결정!$D$16+$J37*결정!$E$16,100-$J$41)-$J$40))</f>
        <v>617.86874379244762</v>
      </c>
    </row>
    <row r="38" spans="2:14" ht="15" customHeight="1" x14ac:dyDescent="0.3">
      <c r="B38" s="23">
        <v>12</v>
      </c>
      <c r="C38" s="24">
        <f>IF((결정!$B$13+$B38*결정!$C$13-$B$40)&gt;0,(장비!N14-$B$25)/(결정!$B$13+$B38*결정!$C$13-$B$40),"")</f>
        <v>4.5527628343693092</v>
      </c>
      <c r="D38" s="24">
        <f>IF((결정!$B$14+$B38*결정!$C$14-$B$40)&gt;0,(장비!O14-$B$25)/(결정!$B$14+$B38*결정!$C$14-$B$40),"")</f>
        <v>6.3970122785495489</v>
      </c>
      <c r="E38" s="24">
        <f>IF((결정!$B$15+$B38*결정!$C$15-$B$40)&gt;0,(장비!P14-$B$25)/(결정!$B$15+$B38*결정!$C$15-$B$40),"")</f>
        <v>9.9466668841019796</v>
      </c>
      <c r="F38" s="24">
        <f>IF((결정!$B$16+$B38*결정!$C$16-$B$40)&gt;0,(장비!Q14-$B$25)/(결정!$B$16+$B38*결정!$C$16-$B$40),"")</f>
        <v>17.449580950489917</v>
      </c>
      <c r="G38" s="8"/>
      <c r="H38" s="8"/>
      <c r="I38" s="8"/>
      <c r="J38" s="23">
        <v>12</v>
      </c>
      <c r="K38" s="24">
        <f>IF((MIN(결정!$D$13+$J38*결정!$E$13,100-$J$41)-$J$40)&lt;=0,"",(장비!N14-$J$25)/(MIN(결정!$D$13+$J38*결정!$E$13,100-$J$41)-$J$40))</f>
        <v>108.46287928938648</v>
      </c>
      <c r="L38" s="24">
        <f>IF((MIN(결정!$D$14+$J38*결정!$E$14,100-$J$41)-$J$40)&lt;=0,"",(장비!O14-$J$25)/(MIN(결정!$D$14+$J38*결정!$E$14,100-$J$41)-$J$40))</f>
        <v>202.57205548740239</v>
      </c>
      <c r="M38" s="24">
        <f>IF((MIN(결정!$D$15+$J38*결정!$E$15,100-$J$41)-$J$40)&lt;=0,"",(장비!P14-$J$25)/(MIN(결정!$D$15+$J38*결정!$E$15,100-$J$41)-$J$40))</f>
        <v>391.44947092272309</v>
      </c>
      <c r="N38" s="24">
        <f>IF((MIN(결정!$D$16+$J38*결정!$E$16,100-$J$41)-$J$40)&lt;=0,"",(장비!Q14-$J$25)/(MIN(결정!$D$16+$J38*결정!$E$16,100-$J$41)-$J$40))</f>
        <v>847.22307509615507</v>
      </c>
    </row>
    <row r="39" spans="2:14" ht="15" customHeight="1" x14ac:dyDescent="0.3">
      <c r="B39" s="23"/>
      <c r="C39" s="24">
        <v>9999</v>
      </c>
      <c r="D39" s="24">
        <v>9999</v>
      </c>
      <c r="E39" s="24">
        <v>9999</v>
      </c>
      <c r="F39" s="24">
        <v>9999</v>
      </c>
      <c r="G39" s="8"/>
      <c r="H39" s="8"/>
      <c r="I39" s="8"/>
      <c r="J39" s="23"/>
      <c r="K39" s="24">
        <v>9999</v>
      </c>
      <c r="L39" s="24">
        <v>9999</v>
      </c>
      <c r="M39" s="24">
        <v>9999</v>
      </c>
      <c r="N39" s="24">
        <v>9999</v>
      </c>
    </row>
    <row r="40" spans="2:14" ht="15" customHeight="1" x14ac:dyDescent="0.3">
      <c r="B40" s="23" cm="1">
        <f t="array" ref="B40">INDEX(결정!$B$11:$B$16,F2)+G1*E2</f>
        <v>0</v>
      </c>
      <c r="C40" s="24">
        <f t="shared" ref="C40:F40" si="9">MIN(C26:C39)</f>
        <v>1.1651733190787936</v>
      </c>
      <c r="D40" s="24">
        <f t="shared" si="9"/>
        <v>1.6713048019146342</v>
      </c>
      <c r="E40" s="24">
        <f t="shared" si="9"/>
        <v>2.6276235810477035</v>
      </c>
      <c r="F40" s="24">
        <f t="shared" si="9"/>
        <v>5.6072360162135579</v>
      </c>
      <c r="G40" s="8"/>
      <c r="H40" s="8"/>
      <c r="I40" s="8"/>
      <c r="J40" s="23" cm="1">
        <f t="array" ref="J40">INDEX(결정!$D$11:$D$16,N2)+O1*M2</f>
        <v>0</v>
      </c>
      <c r="K40" s="24">
        <f t="shared" ref="K40" si="10">MIN(K26:K39)</f>
        <v>26.540058934572521</v>
      </c>
      <c r="L40" s="24">
        <f t="shared" ref="L40" si="11">MIN(L26:L39)</f>
        <v>45.7729083358374</v>
      </c>
      <c r="M40" s="24">
        <f t="shared" ref="M40" si="12">MIN(M26:M39)</f>
        <v>84.21052631578948</v>
      </c>
      <c r="N40" s="24">
        <f t="shared" ref="N40" si="13">MIN(N26:N39)</f>
        <v>225.27472527472526</v>
      </c>
    </row>
    <row r="41" spans="2:14" ht="15" customHeight="1" x14ac:dyDescent="0.3">
      <c r="B41" s="23"/>
      <c r="C41" s="24">
        <f t="shared" ref="C41:F41" si="14">MATCH(C40,C26:C39,0)-1</f>
        <v>4</v>
      </c>
      <c r="D41" s="24">
        <f t="shared" si="14"/>
        <v>4</v>
      </c>
      <c r="E41" s="24">
        <f t="shared" si="14"/>
        <v>4</v>
      </c>
      <c r="F41" s="24">
        <f t="shared" si="14"/>
        <v>4</v>
      </c>
      <c r="G41" s="8"/>
      <c r="H41" s="8"/>
      <c r="I41" s="8"/>
      <c r="J41" s="23">
        <f>메인!J2-J40</f>
        <v>0</v>
      </c>
      <c r="K41" s="24">
        <f t="shared" ref="K41" si="15">MATCH(K40,K26:K39,0)-1</f>
        <v>4</v>
      </c>
      <c r="L41" s="24">
        <f t="shared" ref="L41" si="16">MATCH(L40,L26:L39,0)-1</f>
        <v>3</v>
      </c>
      <c r="M41" s="24">
        <f t="shared" ref="M41" si="17">MATCH(M40,M26:M39,0)-1</f>
        <v>0</v>
      </c>
      <c r="N41" s="24">
        <f t="shared" ref="N41" si="18">MATCH(N40,N26:N39,0)-1</f>
        <v>0</v>
      </c>
    </row>
  </sheetData>
  <sheetProtection algorithmName="SHA-512" hashValue="NgRmDJH3bbWv69I+1Wa5pK5KjhjSpCWhx2cgD/guF0teJe4hQNG0xkPRMTiHfa2RnybQvc0D0oH3ltePLj0EoQ==" saltValue="mEiTlUiwJVpysuoSy201iw==" spinCount="100000" sheet="1" objects="1" scenarios="1" selectLockedCells="1" selectUnlockedCells="1"/>
  <mergeCells count="2">
    <mergeCell ref="K2:L2"/>
    <mergeCell ref="C2:D2"/>
  </mergeCells>
  <phoneticPr fontId="2" type="noConversion"/>
  <conditionalFormatting sqref="B5:E16">
    <cfRule type="expression" dxfId="7" priority="17">
      <formula>$F5&gt;$G$2</formula>
    </cfRule>
  </conditionalFormatting>
  <conditionalFormatting sqref="B19:E22">
    <cfRule type="expression" dxfId="6" priority="7">
      <formula>$A19&lt;=$F$2</formula>
    </cfRule>
  </conditionalFormatting>
  <conditionalFormatting sqref="C5:C16">
    <cfRule type="expression" dxfId="5" priority="21">
      <formula>C5="기타"</formula>
    </cfRule>
  </conditionalFormatting>
  <conditionalFormatting sqref="E2">
    <cfRule type="expression" dxfId="4" priority="29">
      <formula>$F$2&lt;3</formula>
    </cfRule>
  </conditionalFormatting>
  <conditionalFormatting sqref="J5:M16">
    <cfRule type="expression" dxfId="3" priority="4">
      <formula>$N5&gt;$O$2</formula>
    </cfRule>
  </conditionalFormatting>
  <conditionalFormatting sqref="J19:M22">
    <cfRule type="expression" dxfId="2" priority="1">
      <formula>$I19&lt;=$N$2</formula>
    </cfRule>
  </conditionalFormatting>
  <conditionalFormatting sqref="K5:K16">
    <cfRule type="expression" dxfId="1" priority="5">
      <formula>K5="기타"</formula>
    </cfRule>
  </conditionalFormatting>
  <conditionalFormatting sqref="M2">
    <cfRule type="expression" dxfId="0" priority="6">
      <formula>$N$2&lt;3</formula>
    </cfRule>
  </conditionalFormatting>
  <dataValidations count="2">
    <dataValidation type="whole" allowBlank="1" showInputMessage="1" showErrorMessage="1" sqref="E2 M2" xr:uid="{61CD3843-D14E-4920-89C1-167ACDDD8099}">
      <formula1>0</formula1>
      <formula2>12</formula2>
    </dataValidation>
    <dataValidation showInputMessage="1" showErrorMessage="1" sqref="C2:D2 K2:L2" xr:uid="{DDA6D253-D2B4-44FD-94ED-7E6AD997E477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CDFEC-A609-4738-ABE9-11384886D437}">
  <dimension ref="A1:X14"/>
  <sheetViews>
    <sheetView workbookViewId="0"/>
  </sheetViews>
  <sheetFormatPr defaultRowHeight="16.5" x14ac:dyDescent="0.3"/>
  <cols>
    <col min="1" max="1" width="5.25" bestFit="1" customWidth="1"/>
    <col min="6" max="6" width="2.5" customWidth="1"/>
    <col min="7" max="7" width="5.25" bestFit="1" customWidth="1"/>
    <col min="12" max="12" width="2.5" customWidth="1"/>
    <col min="13" max="13" width="11" bestFit="1" customWidth="1"/>
    <col min="19" max="19" width="5.25" bestFit="1" customWidth="1"/>
  </cols>
  <sheetData>
    <row r="1" spans="1:24" x14ac:dyDescent="0.3">
      <c r="A1" t="s">
        <v>61</v>
      </c>
      <c r="B1" t="s">
        <v>33</v>
      </c>
      <c r="C1" t="s">
        <v>28</v>
      </c>
      <c r="D1" t="s">
        <v>29</v>
      </c>
      <c r="E1" t="s">
        <v>30</v>
      </c>
      <c r="G1" t="s">
        <v>62</v>
      </c>
      <c r="H1" t="s">
        <v>33</v>
      </c>
      <c r="I1" t="s">
        <v>28</v>
      </c>
      <c r="J1" t="s">
        <v>29</v>
      </c>
      <c r="K1" t="s">
        <v>30</v>
      </c>
      <c r="M1" t="s">
        <v>64</v>
      </c>
      <c r="N1" t="s">
        <v>33</v>
      </c>
      <c r="O1" t="s">
        <v>28</v>
      </c>
      <c r="P1" t="s">
        <v>29</v>
      </c>
      <c r="Q1" t="s">
        <v>30</v>
      </c>
      <c r="S1" t="s">
        <v>65</v>
      </c>
      <c r="T1" t="s">
        <v>27</v>
      </c>
      <c r="U1" t="s">
        <v>33</v>
      </c>
      <c r="V1" t="s">
        <v>28</v>
      </c>
      <c r="W1" t="s">
        <v>29</v>
      </c>
      <c r="X1" t="s">
        <v>30</v>
      </c>
    </row>
    <row r="2" spans="1:24" x14ac:dyDescent="0.3">
      <c r="A2">
        <v>0</v>
      </c>
      <c r="B2">
        <v>120</v>
      </c>
      <c r="C2">
        <f>350+5*30</f>
        <v>500</v>
      </c>
      <c r="D2">
        <f>1000+12*30</f>
        <v>1360</v>
      </c>
      <c r="E2">
        <f>2500+40*40</f>
        <v>4100</v>
      </c>
      <c r="G2">
        <v>0</v>
      </c>
      <c r="H2">
        <v>70</v>
      </c>
      <c r="I2">
        <v>90</v>
      </c>
      <c r="J2">
        <v>85</v>
      </c>
      <c r="K2">
        <v>70</v>
      </c>
      <c r="M2">
        <v>0</v>
      </c>
      <c r="N2" s="16">
        <f>B2/H2*100</f>
        <v>171.42857142857142</v>
      </c>
      <c r="O2" s="16">
        <f t="shared" ref="O2:Q2" si="0">C2/I2*100</f>
        <v>555.55555555555554</v>
      </c>
      <c r="P2" s="16">
        <f t="shared" si="0"/>
        <v>1600</v>
      </c>
      <c r="Q2" s="16">
        <f t="shared" si="0"/>
        <v>5857.1428571428569</v>
      </c>
      <c r="S2">
        <v>0</v>
      </c>
      <c r="T2">
        <v>5</v>
      </c>
      <c r="U2">
        <v>30</v>
      </c>
      <c r="V2">
        <v>80</v>
      </c>
      <c r="W2">
        <v>200</v>
      </c>
      <c r="X2">
        <v>500</v>
      </c>
    </row>
    <row r="3" spans="1:24" x14ac:dyDescent="0.3">
      <c r="A3">
        <v>1</v>
      </c>
      <c r="B3">
        <v>15</v>
      </c>
      <c r="C3">
        <v>40</v>
      </c>
      <c r="D3">
        <v>100</v>
      </c>
      <c r="E3">
        <v>250</v>
      </c>
      <c r="G3">
        <v>1</v>
      </c>
      <c r="H3">
        <v>95</v>
      </c>
      <c r="I3">
        <v>95</v>
      </c>
      <c r="J3">
        <v>95</v>
      </c>
      <c r="K3">
        <v>95</v>
      </c>
      <c r="M3">
        <v>1</v>
      </c>
      <c r="N3" s="16">
        <f>B3/H3*100+N2</f>
        <v>187.21804511278194</v>
      </c>
      <c r="O3" s="16">
        <f t="shared" ref="O3:Q14" si="1">C3/I3*100+O2</f>
        <v>597.66081871345023</v>
      </c>
      <c r="P3" s="16">
        <f t="shared" si="1"/>
        <v>1705.2631578947369</v>
      </c>
      <c r="Q3" s="16">
        <f t="shared" si="1"/>
        <v>6120.3007518796994</v>
      </c>
      <c r="S3">
        <v>1</v>
      </c>
      <c r="T3">
        <v>5</v>
      </c>
      <c r="U3">
        <v>42</v>
      </c>
      <c r="V3">
        <v>113</v>
      </c>
      <c r="W3">
        <v>284</v>
      </c>
      <c r="X3">
        <v>710</v>
      </c>
    </row>
    <row r="4" spans="1:24" x14ac:dyDescent="0.3">
      <c r="A4">
        <v>2</v>
      </c>
      <c r="B4">
        <v>15</v>
      </c>
      <c r="C4">
        <v>40</v>
      </c>
      <c r="D4">
        <v>100</v>
      </c>
      <c r="E4">
        <v>250</v>
      </c>
      <c r="G4">
        <v>2</v>
      </c>
      <c r="H4">
        <v>92</v>
      </c>
      <c r="I4">
        <v>92</v>
      </c>
      <c r="J4">
        <v>92</v>
      </c>
      <c r="K4">
        <v>92</v>
      </c>
      <c r="M4">
        <v>2</v>
      </c>
      <c r="N4" s="16">
        <f t="shared" ref="N4:N14" si="2">B4/H4*100+N3</f>
        <v>203.5223929388689</v>
      </c>
      <c r="O4" s="16">
        <f t="shared" si="1"/>
        <v>641.13907958301547</v>
      </c>
      <c r="P4" s="16">
        <f t="shared" si="1"/>
        <v>1813.9588100686499</v>
      </c>
      <c r="Q4" s="16">
        <f t="shared" si="1"/>
        <v>6392.0398823144824</v>
      </c>
      <c r="S4">
        <v>2</v>
      </c>
      <c r="T4">
        <v>5</v>
      </c>
      <c r="U4">
        <v>55</v>
      </c>
      <c r="V4">
        <v>148</v>
      </c>
      <c r="W4">
        <v>371</v>
      </c>
      <c r="X4">
        <v>927</v>
      </c>
    </row>
    <row r="5" spans="1:24" x14ac:dyDescent="0.3">
      <c r="A5">
        <v>3</v>
      </c>
      <c r="B5">
        <v>15</v>
      </c>
      <c r="C5">
        <v>40</v>
      </c>
      <c r="D5">
        <v>100</v>
      </c>
      <c r="E5">
        <v>250</v>
      </c>
      <c r="G5">
        <v>3</v>
      </c>
      <c r="H5">
        <v>88</v>
      </c>
      <c r="I5">
        <v>88</v>
      </c>
      <c r="J5">
        <v>88</v>
      </c>
      <c r="K5">
        <v>88</v>
      </c>
      <c r="M5">
        <v>3</v>
      </c>
      <c r="N5" s="16">
        <f t="shared" si="2"/>
        <v>220.56784748432344</v>
      </c>
      <c r="O5" s="16">
        <f t="shared" si="1"/>
        <v>686.59362503756097</v>
      </c>
      <c r="P5" s="16">
        <f t="shared" si="1"/>
        <v>1927.5951737050136</v>
      </c>
      <c r="Q5" s="16">
        <f t="shared" si="1"/>
        <v>6676.1307914053914</v>
      </c>
      <c r="S5">
        <v>3</v>
      </c>
      <c r="T5">
        <v>5</v>
      </c>
      <c r="U5">
        <v>69</v>
      </c>
      <c r="V5">
        <v>184</v>
      </c>
      <c r="W5">
        <v>462</v>
      </c>
      <c r="X5">
        <v>1155</v>
      </c>
    </row>
    <row r="6" spans="1:24" x14ac:dyDescent="0.3">
      <c r="A6">
        <v>4</v>
      </c>
      <c r="B6">
        <v>15</v>
      </c>
      <c r="C6">
        <v>40</v>
      </c>
      <c r="D6">
        <v>100</v>
      </c>
      <c r="E6">
        <v>250</v>
      </c>
      <c r="G6">
        <v>4</v>
      </c>
      <c r="H6">
        <v>82</v>
      </c>
      <c r="I6">
        <v>82</v>
      </c>
      <c r="J6">
        <v>82</v>
      </c>
      <c r="K6">
        <v>82</v>
      </c>
      <c r="M6">
        <v>4</v>
      </c>
      <c r="N6" s="16">
        <f t="shared" si="2"/>
        <v>238.86053041115269</v>
      </c>
      <c r="O6" s="16">
        <f t="shared" si="1"/>
        <v>735.37411284243899</v>
      </c>
      <c r="P6" s="16">
        <f t="shared" si="1"/>
        <v>2049.5463932172088</v>
      </c>
      <c r="Q6" s="16">
        <f t="shared" si="1"/>
        <v>6981.0088401858793</v>
      </c>
      <c r="S6">
        <v>4</v>
      </c>
      <c r="T6">
        <v>5</v>
      </c>
      <c r="U6">
        <v>83</v>
      </c>
      <c r="V6">
        <v>223</v>
      </c>
      <c r="W6">
        <v>559</v>
      </c>
      <c r="X6">
        <v>1399</v>
      </c>
    </row>
    <row r="7" spans="1:24" x14ac:dyDescent="0.3">
      <c r="A7">
        <v>5</v>
      </c>
      <c r="B7">
        <v>25</v>
      </c>
      <c r="C7">
        <v>65</v>
      </c>
      <c r="D7">
        <v>160</v>
      </c>
      <c r="E7">
        <v>400</v>
      </c>
      <c r="G7">
        <v>5</v>
      </c>
      <c r="H7">
        <v>75</v>
      </c>
      <c r="I7">
        <v>75</v>
      </c>
      <c r="J7">
        <v>75</v>
      </c>
      <c r="K7">
        <v>75</v>
      </c>
      <c r="M7">
        <v>5</v>
      </c>
      <c r="N7" s="16">
        <f t="shared" si="2"/>
        <v>272.19386374448601</v>
      </c>
      <c r="O7" s="16">
        <f t="shared" si="1"/>
        <v>822.04077950910562</v>
      </c>
      <c r="P7" s="16">
        <f t="shared" si="1"/>
        <v>2262.8797265505423</v>
      </c>
      <c r="Q7" s="16">
        <f t="shared" si="1"/>
        <v>7514.3421735192123</v>
      </c>
      <c r="S7">
        <v>5</v>
      </c>
      <c r="T7">
        <v>5</v>
      </c>
      <c r="U7">
        <v>110</v>
      </c>
      <c r="V7">
        <v>293</v>
      </c>
      <c r="W7">
        <v>730</v>
      </c>
      <c r="X7">
        <v>1825</v>
      </c>
    </row>
    <row r="8" spans="1:24" x14ac:dyDescent="0.3">
      <c r="A8">
        <v>6</v>
      </c>
      <c r="B8">
        <v>25</v>
      </c>
      <c r="C8">
        <v>65</v>
      </c>
      <c r="D8">
        <v>160</v>
      </c>
      <c r="E8">
        <v>400</v>
      </c>
      <c r="G8">
        <v>6</v>
      </c>
      <c r="H8">
        <v>66</v>
      </c>
      <c r="I8">
        <v>66</v>
      </c>
      <c r="J8">
        <v>66</v>
      </c>
      <c r="K8">
        <v>66</v>
      </c>
      <c r="M8">
        <v>6</v>
      </c>
      <c r="N8" s="16">
        <f t="shared" si="2"/>
        <v>310.07265162327388</v>
      </c>
      <c r="O8" s="16">
        <f t="shared" si="1"/>
        <v>920.52562799395412</v>
      </c>
      <c r="P8" s="16">
        <f t="shared" si="1"/>
        <v>2505.3039689747848</v>
      </c>
      <c r="Q8" s="16">
        <f t="shared" si="1"/>
        <v>8120.4027795798183</v>
      </c>
      <c r="S8">
        <v>6</v>
      </c>
      <c r="T8">
        <v>5</v>
      </c>
      <c r="U8">
        <v>140</v>
      </c>
      <c r="V8">
        <v>371</v>
      </c>
      <c r="W8">
        <v>924</v>
      </c>
      <c r="X8">
        <v>2310</v>
      </c>
    </row>
    <row r="9" spans="1:24" x14ac:dyDescent="0.3">
      <c r="A9">
        <v>7</v>
      </c>
      <c r="B9">
        <v>25</v>
      </c>
      <c r="C9">
        <v>65</v>
      </c>
      <c r="D9">
        <v>160</v>
      </c>
      <c r="E9">
        <v>400</v>
      </c>
      <c r="G9">
        <v>7</v>
      </c>
      <c r="H9">
        <v>56</v>
      </c>
      <c r="I9">
        <v>56</v>
      </c>
      <c r="J9">
        <v>56</v>
      </c>
      <c r="K9">
        <v>56</v>
      </c>
      <c r="M9">
        <v>7</v>
      </c>
      <c r="N9" s="16">
        <f t="shared" si="2"/>
        <v>354.71550876613105</v>
      </c>
      <c r="O9" s="16">
        <f t="shared" si="1"/>
        <v>1036.5970565653827</v>
      </c>
      <c r="P9" s="16">
        <f t="shared" si="1"/>
        <v>2791.0182546890705</v>
      </c>
      <c r="Q9" s="16">
        <f t="shared" si="1"/>
        <v>8834.688493865533</v>
      </c>
      <c r="S9">
        <v>7</v>
      </c>
      <c r="T9">
        <v>5</v>
      </c>
      <c r="U9">
        <v>176</v>
      </c>
      <c r="V9">
        <v>464</v>
      </c>
      <c r="W9">
        <v>1152</v>
      </c>
      <c r="X9">
        <v>2882</v>
      </c>
    </row>
    <row r="10" spans="1:24" x14ac:dyDescent="0.3">
      <c r="A10">
        <v>8</v>
      </c>
      <c r="B10">
        <v>50</v>
      </c>
      <c r="C10">
        <v>130</v>
      </c>
      <c r="D10">
        <v>320</v>
      </c>
      <c r="E10">
        <v>800</v>
      </c>
      <c r="G10">
        <v>8</v>
      </c>
      <c r="H10">
        <v>45</v>
      </c>
      <c r="I10">
        <v>45</v>
      </c>
      <c r="J10">
        <v>45</v>
      </c>
      <c r="K10">
        <v>45</v>
      </c>
      <c r="M10">
        <v>8</v>
      </c>
      <c r="N10" s="16">
        <f t="shared" si="2"/>
        <v>465.82661987724214</v>
      </c>
      <c r="O10" s="16">
        <f t="shared" si="1"/>
        <v>1325.4859454542716</v>
      </c>
      <c r="P10" s="16">
        <f t="shared" si="1"/>
        <v>3502.1293658001814</v>
      </c>
      <c r="Q10" s="16">
        <f t="shared" si="1"/>
        <v>10612.46627164331</v>
      </c>
      <c r="S10">
        <v>8</v>
      </c>
      <c r="T10">
        <v>5</v>
      </c>
      <c r="U10">
        <v>265</v>
      </c>
      <c r="V10">
        <v>695</v>
      </c>
      <c r="W10">
        <v>1721</v>
      </c>
      <c r="X10">
        <v>4304</v>
      </c>
    </row>
    <row r="11" spans="1:24" x14ac:dyDescent="0.3">
      <c r="A11">
        <v>9</v>
      </c>
      <c r="B11">
        <v>50</v>
      </c>
      <c r="C11">
        <v>130</v>
      </c>
      <c r="D11">
        <v>320</v>
      </c>
      <c r="E11">
        <v>800</v>
      </c>
      <c r="G11">
        <v>9</v>
      </c>
      <c r="H11">
        <v>35</v>
      </c>
      <c r="I11">
        <v>35</v>
      </c>
      <c r="J11">
        <v>35</v>
      </c>
      <c r="K11">
        <v>35</v>
      </c>
      <c r="M11">
        <v>9</v>
      </c>
      <c r="N11" s="16">
        <f t="shared" si="2"/>
        <v>608.68376273438503</v>
      </c>
      <c r="O11" s="16">
        <f t="shared" si="1"/>
        <v>1696.9145168828431</v>
      </c>
      <c r="P11" s="16">
        <f t="shared" si="1"/>
        <v>4416.4150800858952</v>
      </c>
      <c r="Q11" s="16">
        <f t="shared" si="1"/>
        <v>12898.180557357597</v>
      </c>
      <c r="S11">
        <v>9</v>
      </c>
      <c r="T11">
        <v>5</v>
      </c>
      <c r="U11">
        <v>379</v>
      </c>
      <c r="V11">
        <v>993</v>
      </c>
      <c r="W11">
        <v>2453</v>
      </c>
      <c r="X11">
        <v>6132</v>
      </c>
    </row>
    <row r="12" spans="1:24" x14ac:dyDescent="0.3">
      <c r="A12">
        <v>10</v>
      </c>
      <c r="B12">
        <v>50</v>
      </c>
      <c r="C12">
        <v>130</v>
      </c>
      <c r="D12">
        <v>320</v>
      </c>
      <c r="E12">
        <v>800</v>
      </c>
      <c r="G12">
        <v>10</v>
      </c>
      <c r="H12">
        <v>27</v>
      </c>
      <c r="I12">
        <v>27</v>
      </c>
      <c r="J12">
        <v>27</v>
      </c>
      <c r="K12">
        <v>27</v>
      </c>
      <c r="M12">
        <v>10</v>
      </c>
      <c r="N12" s="16">
        <f t="shared" si="2"/>
        <v>793.86894791957025</v>
      </c>
      <c r="O12" s="16">
        <f t="shared" si="1"/>
        <v>2178.3959983643244</v>
      </c>
      <c r="P12" s="16">
        <f t="shared" si="1"/>
        <v>5601.6002652710804</v>
      </c>
      <c r="Q12" s="16">
        <f t="shared" si="1"/>
        <v>15861.14352032056</v>
      </c>
      <c r="S12">
        <v>10</v>
      </c>
      <c r="T12">
        <v>5</v>
      </c>
      <c r="U12">
        <v>527</v>
      </c>
      <c r="V12">
        <v>1378</v>
      </c>
      <c r="W12">
        <v>3401</v>
      </c>
      <c r="X12">
        <v>8503</v>
      </c>
    </row>
    <row r="13" spans="1:24" x14ac:dyDescent="0.3">
      <c r="A13">
        <v>11</v>
      </c>
      <c r="B13">
        <v>90</v>
      </c>
      <c r="C13">
        <v>230</v>
      </c>
      <c r="D13">
        <v>560</v>
      </c>
      <c r="E13">
        <v>1400</v>
      </c>
      <c r="G13">
        <v>11</v>
      </c>
      <c r="H13">
        <v>20</v>
      </c>
      <c r="I13">
        <v>20</v>
      </c>
      <c r="J13">
        <v>20</v>
      </c>
      <c r="K13">
        <v>20</v>
      </c>
      <c r="M13">
        <v>11</v>
      </c>
      <c r="N13" s="16">
        <f t="shared" si="2"/>
        <v>1243.8689479195702</v>
      </c>
      <c r="O13" s="16">
        <f t="shared" si="1"/>
        <v>3328.3959983643244</v>
      </c>
      <c r="P13" s="16">
        <f t="shared" si="1"/>
        <v>8401.6002652710813</v>
      </c>
      <c r="Q13" s="16">
        <f t="shared" si="1"/>
        <v>22861.143520320562</v>
      </c>
      <c r="S13">
        <v>11</v>
      </c>
      <c r="T13">
        <v>5</v>
      </c>
      <c r="U13">
        <v>887</v>
      </c>
      <c r="V13">
        <v>2298</v>
      </c>
      <c r="W13">
        <v>5641</v>
      </c>
      <c r="X13">
        <v>14103</v>
      </c>
    </row>
    <row r="14" spans="1:24" x14ac:dyDescent="0.3">
      <c r="A14">
        <v>12</v>
      </c>
      <c r="B14">
        <v>90</v>
      </c>
      <c r="C14">
        <v>230</v>
      </c>
      <c r="D14">
        <v>560</v>
      </c>
      <c r="E14">
        <v>1400</v>
      </c>
      <c r="G14">
        <v>12</v>
      </c>
      <c r="H14">
        <v>15</v>
      </c>
      <c r="I14">
        <v>15</v>
      </c>
      <c r="J14">
        <v>15</v>
      </c>
      <c r="K14">
        <v>15</v>
      </c>
      <c r="M14">
        <v>12</v>
      </c>
      <c r="N14" s="16">
        <f t="shared" si="2"/>
        <v>1843.8689479195702</v>
      </c>
      <c r="O14" s="16">
        <f t="shared" si="1"/>
        <v>4861.7293316976575</v>
      </c>
      <c r="P14" s="16">
        <f t="shared" si="1"/>
        <v>12134.933598604415</v>
      </c>
      <c r="Q14" s="16">
        <f t="shared" si="1"/>
        <v>32194.476853653894</v>
      </c>
      <c r="S14">
        <v>12</v>
      </c>
      <c r="T14">
        <v>5</v>
      </c>
      <c r="U14">
        <v>1367</v>
      </c>
      <c r="V14">
        <v>3524</v>
      </c>
      <c r="W14">
        <v>8627</v>
      </c>
      <c r="X14">
        <v>21569</v>
      </c>
    </row>
  </sheetData>
  <sheetProtection algorithmName="SHA-512" hashValue="lUkU9jezF4VHyqZo2oA/ahFx/s+23LGzsf9W/VS+OlxfAwXyHK+JLO7nBupTWGC+dF5CzC9LGop4/siGWSer9g==" saltValue="vCmGXLoeaWXsPspbD1mw8Q==" spinCount="100000" sheet="1" objects="1" scenarios="1" selectLockedCells="1" selectUnlockedCells="1"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50263-2293-4ACD-A3BD-927E2E5BE142}">
  <dimension ref="A1:F91"/>
  <sheetViews>
    <sheetView workbookViewId="0"/>
  </sheetViews>
  <sheetFormatPr defaultRowHeight="16.5" x14ac:dyDescent="0.3"/>
  <sheetData>
    <row r="1" spans="1:6" x14ac:dyDescent="0.3">
      <c r="A1" t="s">
        <v>7</v>
      </c>
      <c r="B1" t="s">
        <v>0</v>
      </c>
      <c r="C1" t="s">
        <v>4</v>
      </c>
      <c r="E1" t="s">
        <v>8</v>
      </c>
      <c r="F1" t="s">
        <v>9</v>
      </c>
    </row>
    <row r="2" spans="1:6" x14ac:dyDescent="0.3">
      <c r="A2">
        <v>1</v>
      </c>
      <c r="E2">
        <v>113</v>
      </c>
      <c r="F2">
        <v>110</v>
      </c>
    </row>
    <row r="3" spans="1:6" x14ac:dyDescent="0.3">
      <c r="A3">
        <v>2</v>
      </c>
      <c r="C3">
        <v>2</v>
      </c>
      <c r="E3">
        <f t="shared" ref="E3" si="0">B3+E2</f>
        <v>113</v>
      </c>
      <c r="F3">
        <f t="shared" ref="F3:F67" si="1">C3+F2</f>
        <v>112</v>
      </c>
    </row>
    <row r="4" spans="1:6" x14ac:dyDescent="0.3">
      <c r="A4">
        <v>3</v>
      </c>
      <c r="B4">
        <v>18</v>
      </c>
      <c r="E4">
        <f t="shared" ref="E4:E67" si="2">B4+E3</f>
        <v>131</v>
      </c>
      <c r="F4">
        <f t="shared" si="1"/>
        <v>112</v>
      </c>
    </row>
    <row r="5" spans="1:6" x14ac:dyDescent="0.3">
      <c r="A5">
        <v>4</v>
      </c>
      <c r="E5">
        <f t="shared" si="2"/>
        <v>131</v>
      </c>
      <c r="F5">
        <f t="shared" si="1"/>
        <v>112</v>
      </c>
    </row>
    <row r="6" spans="1:6" x14ac:dyDescent="0.3">
      <c r="A6">
        <v>5</v>
      </c>
      <c r="B6">
        <v>22</v>
      </c>
      <c r="E6">
        <f t="shared" si="2"/>
        <v>153</v>
      </c>
      <c r="F6">
        <f t="shared" si="1"/>
        <v>112</v>
      </c>
    </row>
    <row r="7" spans="1:6" x14ac:dyDescent="0.3">
      <c r="A7">
        <v>6</v>
      </c>
      <c r="B7">
        <v>27</v>
      </c>
      <c r="E7">
        <f t="shared" si="2"/>
        <v>180</v>
      </c>
      <c r="F7">
        <f t="shared" si="1"/>
        <v>112</v>
      </c>
    </row>
    <row r="8" spans="1:6" x14ac:dyDescent="0.3">
      <c r="A8">
        <v>7</v>
      </c>
      <c r="C8">
        <v>2</v>
      </c>
      <c r="E8">
        <f t="shared" si="2"/>
        <v>180</v>
      </c>
      <c r="F8">
        <f t="shared" si="1"/>
        <v>114</v>
      </c>
    </row>
    <row r="9" spans="1:6" x14ac:dyDescent="0.3">
      <c r="A9">
        <v>8</v>
      </c>
      <c r="B9">
        <v>32</v>
      </c>
      <c r="E9">
        <f t="shared" si="2"/>
        <v>212</v>
      </c>
      <c r="F9">
        <f t="shared" si="1"/>
        <v>114</v>
      </c>
    </row>
    <row r="10" spans="1:6" x14ac:dyDescent="0.3">
      <c r="A10">
        <v>9</v>
      </c>
      <c r="E10">
        <f t="shared" si="2"/>
        <v>212</v>
      </c>
      <c r="F10">
        <f t="shared" si="1"/>
        <v>114</v>
      </c>
    </row>
    <row r="11" spans="1:6" x14ac:dyDescent="0.3">
      <c r="A11">
        <v>10</v>
      </c>
      <c r="B11">
        <v>36</v>
      </c>
      <c r="E11">
        <f t="shared" si="2"/>
        <v>248</v>
      </c>
      <c r="F11">
        <f t="shared" si="1"/>
        <v>114</v>
      </c>
    </row>
    <row r="12" spans="1:6" x14ac:dyDescent="0.3">
      <c r="A12">
        <v>11</v>
      </c>
      <c r="B12">
        <v>41</v>
      </c>
      <c r="E12">
        <f t="shared" si="2"/>
        <v>289</v>
      </c>
      <c r="F12">
        <f t="shared" si="1"/>
        <v>114</v>
      </c>
    </row>
    <row r="13" spans="1:6" x14ac:dyDescent="0.3">
      <c r="A13">
        <v>12</v>
      </c>
      <c r="C13">
        <v>3</v>
      </c>
      <c r="E13">
        <f t="shared" si="2"/>
        <v>289</v>
      </c>
      <c r="F13">
        <f t="shared" si="1"/>
        <v>117</v>
      </c>
    </row>
    <row r="14" spans="1:6" x14ac:dyDescent="0.3">
      <c r="A14">
        <v>13</v>
      </c>
      <c r="B14">
        <v>46</v>
      </c>
      <c r="E14">
        <f t="shared" si="2"/>
        <v>335</v>
      </c>
      <c r="F14">
        <f t="shared" si="1"/>
        <v>117</v>
      </c>
    </row>
    <row r="15" spans="1:6" x14ac:dyDescent="0.3">
      <c r="A15">
        <v>14</v>
      </c>
      <c r="E15">
        <f t="shared" si="2"/>
        <v>335</v>
      </c>
      <c r="F15">
        <f t="shared" si="1"/>
        <v>117</v>
      </c>
    </row>
    <row r="16" spans="1:6" x14ac:dyDescent="0.3">
      <c r="A16">
        <v>15</v>
      </c>
      <c r="B16">
        <v>51</v>
      </c>
      <c r="E16">
        <f t="shared" si="2"/>
        <v>386</v>
      </c>
      <c r="F16">
        <f t="shared" si="1"/>
        <v>117</v>
      </c>
    </row>
    <row r="17" spans="1:6" x14ac:dyDescent="0.3">
      <c r="A17">
        <v>16</v>
      </c>
      <c r="B17">
        <v>55</v>
      </c>
      <c r="E17">
        <f t="shared" si="2"/>
        <v>441</v>
      </c>
      <c r="F17">
        <f t="shared" si="1"/>
        <v>117</v>
      </c>
    </row>
    <row r="18" spans="1:6" x14ac:dyDescent="0.3">
      <c r="A18">
        <v>17</v>
      </c>
      <c r="C18">
        <v>3</v>
      </c>
      <c r="E18">
        <f t="shared" si="2"/>
        <v>441</v>
      </c>
      <c r="F18">
        <f t="shared" si="1"/>
        <v>120</v>
      </c>
    </row>
    <row r="19" spans="1:6" x14ac:dyDescent="0.3">
      <c r="A19">
        <v>18</v>
      </c>
      <c r="B19">
        <v>60</v>
      </c>
      <c r="E19">
        <f t="shared" si="2"/>
        <v>501</v>
      </c>
      <c r="F19">
        <f t="shared" si="1"/>
        <v>120</v>
      </c>
    </row>
    <row r="20" spans="1:6" x14ac:dyDescent="0.3">
      <c r="A20">
        <v>19</v>
      </c>
      <c r="E20">
        <f t="shared" si="2"/>
        <v>501</v>
      </c>
      <c r="F20">
        <f t="shared" si="1"/>
        <v>120</v>
      </c>
    </row>
    <row r="21" spans="1:6" x14ac:dyDescent="0.3">
      <c r="A21">
        <v>20</v>
      </c>
      <c r="B21">
        <v>65</v>
      </c>
      <c r="E21">
        <f t="shared" si="2"/>
        <v>566</v>
      </c>
      <c r="F21">
        <f t="shared" si="1"/>
        <v>120</v>
      </c>
    </row>
    <row r="22" spans="1:6" x14ac:dyDescent="0.3">
      <c r="A22">
        <v>21</v>
      </c>
      <c r="B22">
        <v>69</v>
      </c>
      <c r="E22">
        <f t="shared" si="2"/>
        <v>635</v>
      </c>
      <c r="F22">
        <f t="shared" si="1"/>
        <v>120</v>
      </c>
    </row>
    <row r="23" spans="1:6" x14ac:dyDescent="0.3">
      <c r="A23">
        <v>22</v>
      </c>
      <c r="C23">
        <v>3</v>
      </c>
      <c r="E23">
        <f t="shared" si="2"/>
        <v>635</v>
      </c>
      <c r="F23">
        <f t="shared" si="1"/>
        <v>123</v>
      </c>
    </row>
    <row r="24" spans="1:6" x14ac:dyDescent="0.3">
      <c r="A24">
        <v>23</v>
      </c>
      <c r="B24">
        <v>74</v>
      </c>
      <c r="E24">
        <f t="shared" si="2"/>
        <v>709</v>
      </c>
      <c r="F24">
        <f t="shared" si="1"/>
        <v>123</v>
      </c>
    </row>
    <row r="25" spans="1:6" x14ac:dyDescent="0.3">
      <c r="A25">
        <v>24</v>
      </c>
      <c r="E25">
        <f t="shared" si="2"/>
        <v>709</v>
      </c>
      <c r="F25">
        <f t="shared" si="1"/>
        <v>123</v>
      </c>
    </row>
    <row r="26" spans="1:6" x14ac:dyDescent="0.3">
      <c r="A26">
        <v>25</v>
      </c>
      <c r="B26">
        <v>79</v>
      </c>
      <c r="E26">
        <f t="shared" si="2"/>
        <v>788</v>
      </c>
      <c r="F26">
        <f t="shared" si="1"/>
        <v>123</v>
      </c>
    </row>
    <row r="27" spans="1:6" x14ac:dyDescent="0.3">
      <c r="A27">
        <v>26</v>
      </c>
      <c r="B27">
        <v>84</v>
      </c>
      <c r="E27">
        <f t="shared" si="2"/>
        <v>872</v>
      </c>
      <c r="F27">
        <f t="shared" si="1"/>
        <v>123</v>
      </c>
    </row>
    <row r="28" spans="1:6" x14ac:dyDescent="0.3">
      <c r="A28">
        <v>27</v>
      </c>
      <c r="C28">
        <v>4</v>
      </c>
      <c r="E28">
        <f t="shared" si="2"/>
        <v>872</v>
      </c>
      <c r="F28">
        <f t="shared" si="1"/>
        <v>127</v>
      </c>
    </row>
    <row r="29" spans="1:6" x14ac:dyDescent="0.3">
      <c r="A29">
        <v>28</v>
      </c>
      <c r="B29">
        <v>88</v>
      </c>
      <c r="E29">
        <f t="shared" si="2"/>
        <v>960</v>
      </c>
      <c r="F29">
        <f t="shared" si="1"/>
        <v>127</v>
      </c>
    </row>
    <row r="30" spans="1:6" x14ac:dyDescent="0.3">
      <c r="A30">
        <v>29</v>
      </c>
      <c r="E30">
        <f t="shared" si="2"/>
        <v>960</v>
      </c>
      <c r="F30">
        <f t="shared" si="1"/>
        <v>127</v>
      </c>
    </row>
    <row r="31" spans="1:6" x14ac:dyDescent="0.3">
      <c r="A31">
        <v>30</v>
      </c>
      <c r="B31">
        <v>93</v>
      </c>
      <c r="E31">
        <f t="shared" si="2"/>
        <v>1053</v>
      </c>
      <c r="F31">
        <f t="shared" si="1"/>
        <v>127</v>
      </c>
    </row>
    <row r="32" spans="1:6" x14ac:dyDescent="0.3">
      <c r="A32">
        <v>31</v>
      </c>
      <c r="B32">
        <v>98</v>
      </c>
      <c r="E32">
        <f t="shared" si="2"/>
        <v>1151</v>
      </c>
      <c r="F32">
        <f t="shared" si="1"/>
        <v>127</v>
      </c>
    </row>
    <row r="33" spans="1:6" x14ac:dyDescent="0.3">
      <c r="A33">
        <v>32</v>
      </c>
      <c r="C33">
        <v>4</v>
      </c>
      <c r="E33">
        <f t="shared" si="2"/>
        <v>1151</v>
      </c>
      <c r="F33">
        <f t="shared" si="1"/>
        <v>131</v>
      </c>
    </row>
    <row r="34" spans="1:6" x14ac:dyDescent="0.3">
      <c r="A34">
        <v>33</v>
      </c>
      <c r="B34">
        <v>103</v>
      </c>
      <c r="E34">
        <f t="shared" si="2"/>
        <v>1254</v>
      </c>
      <c r="F34">
        <f t="shared" si="1"/>
        <v>131</v>
      </c>
    </row>
    <row r="35" spans="1:6" x14ac:dyDescent="0.3">
      <c r="A35">
        <v>34</v>
      </c>
      <c r="E35">
        <f t="shared" si="2"/>
        <v>1254</v>
      </c>
      <c r="F35">
        <f t="shared" si="1"/>
        <v>131</v>
      </c>
    </row>
    <row r="36" spans="1:6" x14ac:dyDescent="0.3">
      <c r="A36">
        <v>35</v>
      </c>
      <c r="B36">
        <v>107</v>
      </c>
      <c r="E36">
        <f t="shared" si="2"/>
        <v>1361</v>
      </c>
      <c r="F36">
        <f t="shared" si="1"/>
        <v>131</v>
      </c>
    </row>
    <row r="37" spans="1:6" x14ac:dyDescent="0.3">
      <c r="A37">
        <v>36</v>
      </c>
      <c r="B37">
        <v>112</v>
      </c>
      <c r="E37">
        <f t="shared" si="2"/>
        <v>1473</v>
      </c>
      <c r="F37">
        <f t="shared" si="1"/>
        <v>131</v>
      </c>
    </row>
    <row r="38" spans="1:6" x14ac:dyDescent="0.3">
      <c r="A38">
        <v>37</v>
      </c>
      <c r="C38">
        <v>4</v>
      </c>
      <c r="E38">
        <f t="shared" si="2"/>
        <v>1473</v>
      </c>
      <c r="F38">
        <f t="shared" si="1"/>
        <v>135</v>
      </c>
    </row>
    <row r="39" spans="1:6" x14ac:dyDescent="0.3">
      <c r="A39">
        <v>38</v>
      </c>
      <c r="B39">
        <v>117</v>
      </c>
      <c r="E39">
        <f t="shared" si="2"/>
        <v>1590</v>
      </c>
      <c r="F39">
        <f t="shared" si="1"/>
        <v>135</v>
      </c>
    </row>
    <row r="40" spans="1:6" x14ac:dyDescent="0.3">
      <c r="A40">
        <v>39</v>
      </c>
      <c r="E40">
        <f t="shared" si="2"/>
        <v>1590</v>
      </c>
      <c r="F40">
        <f t="shared" si="1"/>
        <v>135</v>
      </c>
    </row>
    <row r="41" spans="1:6" x14ac:dyDescent="0.3">
      <c r="A41">
        <v>40</v>
      </c>
      <c r="B41">
        <v>121</v>
      </c>
      <c r="E41">
        <f t="shared" si="2"/>
        <v>1711</v>
      </c>
      <c r="F41">
        <f t="shared" si="1"/>
        <v>135</v>
      </c>
    </row>
    <row r="42" spans="1:6" x14ac:dyDescent="0.3">
      <c r="A42">
        <v>41</v>
      </c>
      <c r="B42">
        <v>126</v>
      </c>
      <c r="E42">
        <f t="shared" si="2"/>
        <v>1837</v>
      </c>
      <c r="F42">
        <f t="shared" si="1"/>
        <v>135</v>
      </c>
    </row>
    <row r="43" spans="1:6" x14ac:dyDescent="0.3">
      <c r="A43">
        <v>42</v>
      </c>
      <c r="C43">
        <v>4</v>
      </c>
      <c r="E43">
        <f t="shared" si="2"/>
        <v>1837</v>
      </c>
      <c r="F43">
        <f t="shared" si="1"/>
        <v>139</v>
      </c>
    </row>
    <row r="44" spans="1:6" x14ac:dyDescent="0.3">
      <c r="A44">
        <v>43</v>
      </c>
      <c r="B44">
        <v>131</v>
      </c>
      <c r="E44">
        <f t="shared" si="2"/>
        <v>1968</v>
      </c>
      <c r="F44">
        <f t="shared" si="1"/>
        <v>139</v>
      </c>
    </row>
    <row r="45" spans="1:6" x14ac:dyDescent="0.3">
      <c r="A45">
        <v>44</v>
      </c>
      <c r="E45">
        <f t="shared" si="2"/>
        <v>1968</v>
      </c>
      <c r="F45">
        <f t="shared" si="1"/>
        <v>139</v>
      </c>
    </row>
    <row r="46" spans="1:6" x14ac:dyDescent="0.3">
      <c r="A46">
        <v>45</v>
      </c>
      <c r="B46">
        <v>136</v>
      </c>
      <c r="E46">
        <f t="shared" si="2"/>
        <v>2104</v>
      </c>
      <c r="F46">
        <f t="shared" si="1"/>
        <v>139</v>
      </c>
    </row>
    <row r="47" spans="1:6" x14ac:dyDescent="0.3">
      <c r="A47">
        <v>46</v>
      </c>
      <c r="B47">
        <v>140</v>
      </c>
      <c r="E47">
        <f t="shared" si="2"/>
        <v>2244</v>
      </c>
      <c r="F47">
        <f t="shared" si="1"/>
        <v>139</v>
      </c>
    </row>
    <row r="48" spans="1:6" x14ac:dyDescent="0.3">
      <c r="A48">
        <v>47</v>
      </c>
      <c r="C48">
        <v>5</v>
      </c>
      <c r="E48">
        <f t="shared" si="2"/>
        <v>2244</v>
      </c>
      <c r="F48">
        <f t="shared" si="1"/>
        <v>144</v>
      </c>
    </row>
    <row r="49" spans="1:6" x14ac:dyDescent="0.3">
      <c r="A49">
        <v>48</v>
      </c>
      <c r="B49">
        <v>145</v>
      </c>
      <c r="E49">
        <f t="shared" si="2"/>
        <v>2389</v>
      </c>
      <c r="F49">
        <f t="shared" si="1"/>
        <v>144</v>
      </c>
    </row>
    <row r="50" spans="1:6" x14ac:dyDescent="0.3">
      <c r="A50">
        <v>49</v>
      </c>
      <c r="E50">
        <f t="shared" si="2"/>
        <v>2389</v>
      </c>
      <c r="F50">
        <f t="shared" si="1"/>
        <v>144</v>
      </c>
    </row>
    <row r="51" spans="1:6" x14ac:dyDescent="0.3">
      <c r="A51">
        <v>50</v>
      </c>
      <c r="B51">
        <v>150</v>
      </c>
      <c r="E51">
        <f t="shared" si="2"/>
        <v>2539</v>
      </c>
      <c r="F51">
        <f t="shared" si="1"/>
        <v>144</v>
      </c>
    </row>
    <row r="52" spans="1:6" x14ac:dyDescent="0.3">
      <c r="A52">
        <v>51</v>
      </c>
      <c r="B52">
        <v>154</v>
      </c>
      <c r="E52">
        <f t="shared" si="2"/>
        <v>2693</v>
      </c>
      <c r="F52">
        <f t="shared" si="1"/>
        <v>144</v>
      </c>
    </row>
    <row r="53" spans="1:6" x14ac:dyDescent="0.3">
      <c r="A53">
        <v>52</v>
      </c>
      <c r="C53">
        <v>5</v>
      </c>
      <c r="E53">
        <f t="shared" si="2"/>
        <v>2693</v>
      </c>
      <c r="F53">
        <f t="shared" si="1"/>
        <v>149</v>
      </c>
    </row>
    <row r="54" spans="1:6" x14ac:dyDescent="0.3">
      <c r="A54">
        <v>53</v>
      </c>
      <c r="B54">
        <v>159</v>
      </c>
      <c r="E54">
        <f t="shared" si="2"/>
        <v>2852</v>
      </c>
      <c r="F54">
        <f t="shared" si="1"/>
        <v>149</v>
      </c>
    </row>
    <row r="55" spans="1:6" x14ac:dyDescent="0.3">
      <c r="A55">
        <v>54</v>
      </c>
      <c r="E55">
        <f t="shared" si="2"/>
        <v>2852</v>
      </c>
      <c r="F55">
        <f t="shared" si="1"/>
        <v>149</v>
      </c>
    </row>
    <row r="56" spans="1:6" x14ac:dyDescent="0.3">
      <c r="A56">
        <v>55</v>
      </c>
      <c r="B56">
        <v>164</v>
      </c>
      <c r="E56">
        <f t="shared" si="2"/>
        <v>3016</v>
      </c>
      <c r="F56">
        <f t="shared" si="1"/>
        <v>149</v>
      </c>
    </row>
    <row r="57" spans="1:6" x14ac:dyDescent="0.3">
      <c r="A57">
        <v>56</v>
      </c>
      <c r="B57">
        <v>169</v>
      </c>
      <c r="E57">
        <f t="shared" si="2"/>
        <v>3185</v>
      </c>
      <c r="F57">
        <f t="shared" si="1"/>
        <v>149</v>
      </c>
    </row>
    <row r="58" spans="1:6" x14ac:dyDescent="0.3">
      <c r="A58">
        <v>57</v>
      </c>
      <c r="C58">
        <v>5</v>
      </c>
      <c r="E58">
        <f t="shared" si="2"/>
        <v>3185</v>
      </c>
      <c r="F58">
        <f t="shared" si="1"/>
        <v>154</v>
      </c>
    </row>
    <row r="59" spans="1:6" x14ac:dyDescent="0.3">
      <c r="A59">
        <v>58</v>
      </c>
      <c r="B59">
        <v>173</v>
      </c>
      <c r="E59">
        <f t="shared" si="2"/>
        <v>3358</v>
      </c>
      <c r="F59">
        <f t="shared" si="1"/>
        <v>154</v>
      </c>
    </row>
    <row r="60" spans="1:6" x14ac:dyDescent="0.3">
      <c r="A60">
        <v>59</v>
      </c>
      <c r="E60">
        <f t="shared" si="2"/>
        <v>3358</v>
      </c>
      <c r="F60">
        <f t="shared" si="1"/>
        <v>154</v>
      </c>
    </row>
    <row r="61" spans="1:6" x14ac:dyDescent="0.3">
      <c r="A61">
        <v>60</v>
      </c>
      <c r="B61">
        <v>178</v>
      </c>
      <c r="E61">
        <f t="shared" si="2"/>
        <v>3536</v>
      </c>
      <c r="F61">
        <f t="shared" si="1"/>
        <v>154</v>
      </c>
    </row>
    <row r="62" spans="1:6" x14ac:dyDescent="0.3">
      <c r="A62">
        <v>61</v>
      </c>
      <c r="B62">
        <v>183</v>
      </c>
      <c r="E62">
        <f t="shared" si="2"/>
        <v>3719</v>
      </c>
      <c r="F62">
        <f t="shared" si="1"/>
        <v>154</v>
      </c>
    </row>
    <row r="63" spans="1:6" x14ac:dyDescent="0.3">
      <c r="A63">
        <v>62</v>
      </c>
      <c r="C63">
        <v>5</v>
      </c>
      <c r="E63">
        <f t="shared" si="2"/>
        <v>3719</v>
      </c>
      <c r="F63">
        <f t="shared" si="1"/>
        <v>159</v>
      </c>
    </row>
    <row r="64" spans="1:6" x14ac:dyDescent="0.3">
      <c r="A64">
        <v>63</v>
      </c>
      <c r="B64">
        <v>188</v>
      </c>
      <c r="E64">
        <f t="shared" si="2"/>
        <v>3907</v>
      </c>
      <c r="F64">
        <f t="shared" si="1"/>
        <v>159</v>
      </c>
    </row>
    <row r="65" spans="1:6" x14ac:dyDescent="0.3">
      <c r="A65">
        <v>64</v>
      </c>
      <c r="E65">
        <f t="shared" si="2"/>
        <v>3907</v>
      </c>
      <c r="F65">
        <f t="shared" si="1"/>
        <v>159</v>
      </c>
    </row>
    <row r="66" spans="1:6" x14ac:dyDescent="0.3">
      <c r="A66">
        <v>65</v>
      </c>
      <c r="B66">
        <v>192</v>
      </c>
      <c r="E66">
        <f t="shared" si="2"/>
        <v>4099</v>
      </c>
      <c r="F66">
        <f t="shared" si="1"/>
        <v>159</v>
      </c>
    </row>
    <row r="67" spans="1:6" x14ac:dyDescent="0.3">
      <c r="A67">
        <v>66</v>
      </c>
      <c r="B67">
        <v>197</v>
      </c>
      <c r="E67">
        <f t="shared" si="2"/>
        <v>4296</v>
      </c>
      <c r="F67">
        <f t="shared" si="1"/>
        <v>159</v>
      </c>
    </row>
    <row r="68" spans="1:6" x14ac:dyDescent="0.3">
      <c r="A68">
        <v>67</v>
      </c>
      <c r="C68">
        <v>6</v>
      </c>
      <c r="E68">
        <f t="shared" ref="E68:E91" si="3">B68+E67</f>
        <v>4296</v>
      </c>
      <c r="F68">
        <f t="shared" ref="F68:F91" si="4">C68+F67</f>
        <v>165</v>
      </c>
    </row>
    <row r="69" spans="1:6" x14ac:dyDescent="0.3">
      <c r="A69">
        <v>68</v>
      </c>
      <c r="B69">
        <v>202</v>
      </c>
      <c r="E69">
        <f t="shared" si="3"/>
        <v>4498</v>
      </c>
      <c r="F69">
        <f t="shared" si="4"/>
        <v>165</v>
      </c>
    </row>
    <row r="70" spans="1:6" x14ac:dyDescent="0.3">
      <c r="A70">
        <v>69</v>
      </c>
      <c r="E70">
        <f t="shared" si="3"/>
        <v>4498</v>
      </c>
      <c r="F70">
        <f t="shared" si="4"/>
        <v>165</v>
      </c>
    </row>
    <row r="71" spans="1:6" x14ac:dyDescent="0.3">
      <c r="A71">
        <v>70</v>
      </c>
      <c r="B71">
        <v>206</v>
      </c>
      <c r="E71">
        <f t="shared" si="3"/>
        <v>4704</v>
      </c>
      <c r="F71">
        <f t="shared" si="4"/>
        <v>165</v>
      </c>
    </row>
    <row r="72" spans="1:6" x14ac:dyDescent="0.3">
      <c r="A72">
        <v>71</v>
      </c>
      <c r="B72">
        <v>211</v>
      </c>
      <c r="E72">
        <f t="shared" si="3"/>
        <v>4915</v>
      </c>
      <c r="F72">
        <f t="shared" si="4"/>
        <v>165</v>
      </c>
    </row>
    <row r="73" spans="1:6" x14ac:dyDescent="0.3">
      <c r="A73">
        <v>72</v>
      </c>
      <c r="C73">
        <v>6</v>
      </c>
      <c r="E73">
        <f t="shared" si="3"/>
        <v>4915</v>
      </c>
      <c r="F73">
        <f t="shared" si="4"/>
        <v>171</v>
      </c>
    </row>
    <row r="74" spans="1:6" x14ac:dyDescent="0.3">
      <c r="A74">
        <v>73</v>
      </c>
      <c r="E74">
        <f t="shared" si="3"/>
        <v>4915</v>
      </c>
      <c r="F74">
        <f t="shared" si="4"/>
        <v>171</v>
      </c>
    </row>
    <row r="75" spans="1:6" x14ac:dyDescent="0.3">
      <c r="A75">
        <v>74</v>
      </c>
      <c r="E75">
        <f t="shared" si="3"/>
        <v>4915</v>
      </c>
      <c r="F75">
        <f t="shared" si="4"/>
        <v>171</v>
      </c>
    </row>
    <row r="76" spans="1:6" x14ac:dyDescent="0.3">
      <c r="A76">
        <v>75</v>
      </c>
      <c r="B76">
        <v>216</v>
      </c>
      <c r="E76">
        <f t="shared" si="3"/>
        <v>5131</v>
      </c>
      <c r="F76">
        <f t="shared" si="4"/>
        <v>171</v>
      </c>
    </row>
    <row r="77" spans="1:6" x14ac:dyDescent="0.3">
      <c r="A77">
        <v>76</v>
      </c>
      <c r="B77">
        <v>221</v>
      </c>
      <c r="E77">
        <f t="shared" si="3"/>
        <v>5352</v>
      </c>
      <c r="F77">
        <f t="shared" si="4"/>
        <v>171</v>
      </c>
    </row>
    <row r="78" spans="1:6" x14ac:dyDescent="0.3">
      <c r="A78">
        <v>77</v>
      </c>
      <c r="C78">
        <v>7</v>
      </c>
      <c r="E78">
        <f t="shared" si="3"/>
        <v>5352</v>
      </c>
      <c r="F78">
        <f t="shared" si="4"/>
        <v>178</v>
      </c>
    </row>
    <row r="79" spans="1:6" x14ac:dyDescent="0.3">
      <c r="A79">
        <v>78</v>
      </c>
      <c r="E79">
        <f t="shared" si="3"/>
        <v>5352</v>
      </c>
      <c r="F79">
        <f t="shared" si="4"/>
        <v>178</v>
      </c>
    </row>
    <row r="80" spans="1:6" x14ac:dyDescent="0.3">
      <c r="A80">
        <v>79</v>
      </c>
      <c r="E80">
        <f t="shared" si="3"/>
        <v>5352</v>
      </c>
      <c r="F80">
        <f t="shared" si="4"/>
        <v>178</v>
      </c>
    </row>
    <row r="81" spans="1:6" x14ac:dyDescent="0.3">
      <c r="A81">
        <v>80</v>
      </c>
      <c r="B81">
        <v>225</v>
      </c>
      <c r="E81">
        <f t="shared" si="3"/>
        <v>5577</v>
      </c>
      <c r="F81">
        <f t="shared" si="4"/>
        <v>178</v>
      </c>
    </row>
    <row r="82" spans="1:6" x14ac:dyDescent="0.3">
      <c r="A82">
        <v>81</v>
      </c>
      <c r="B82">
        <v>230</v>
      </c>
      <c r="E82">
        <f t="shared" si="3"/>
        <v>5807</v>
      </c>
      <c r="F82">
        <f t="shared" si="4"/>
        <v>178</v>
      </c>
    </row>
    <row r="83" spans="1:6" x14ac:dyDescent="0.3">
      <c r="A83">
        <v>82</v>
      </c>
      <c r="C83">
        <v>7</v>
      </c>
      <c r="E83">
        <f t="shared" si="3"/>
        <v>5807</v>
      </c>
      <c r="F83">
        <f t="shared" si="4"/>
        <v>185</v>
      </c>
    </row>
    <row r="84" spans="1:6" x14ac:dyDescent="0.3">
      <c r="A84">
        <v>83</v>
      </c>
      <c r="E84">
        <f t="shared" si="3"/>
        <v>5807</v>
      </c>
      <c r="F84">
        <f t="shared" si="4"/>
        <v>185</v>
      </c>
    </row>
    <row r="85" spans="1:6" x14ac:dyDescent="0.3">
      <c r="A85">
        <v>84</v>
      </c>
      <c r="E85">
        <f t="shared" si="3"/>
        <v>5807</v>
      </c>
      <c r="F85">
        <f t="shared" si="4"/>
        <v>185</v>
      </c>
    </row>
    <row r="86" spans="1:6" x14ac:dyDescent="0.3">
      <c r="A86">
        <v>85</v>
      </c>
      <c r="B86">
        <v>235</v>
      </c>
      <c r="E86">
        <f t="shared" si="3"/>
        <v>6042</v>
      </c>
      <c r="F86">
        <f t="shared" si="4"/>
        <v>185</v>
      </c>
    </row>
    <row r="87" spans="1:6" x14ac:dyDescent="0.3">
      <c r="A87">
        <v>86</v>
      </c>
      <c r="B87">
        <v>239</v>
      </c>
      <c r="E87">
        <f t="shared" si="3"/>
        <v>6281</v>
      </c>
      <c r="F87">
        <f t="shared" si="4"/>
        <v>185</v>
      </c>
    </row>
    <row r="88" spans="1:6" x14ac:dyDescent="0.3">
      <c r="A88">
        <v>87</v>
      </c>
      <c r="C88">
        <v>8</v>
      </c>
      <c r="E88">
        <f t="shared" si="3"/>
        <v>6281</v>
      </c>
      <c r="F88">
        <f t="shared" si="4"/>
        <v>193</v>
      </c>
    </row>
    <row r="89" spans="1:6" x14ac:dyDescent="0.3">
      <c r="A89">
        <v>88</v>
      </c>
      <c r="E89">
        <f t="shared" si="3"/>
        <v>6281</v>
      </c>
      <c r="F89">
        <f t="shared" si="4"/>
        <v>193</v>
      </c>
    </row>
    <row r="90" spans="1:6" x14ac:dyDescent="0.3">
      <c r="A90">
        <v>89</v>
      </c>
      <c r="E90">
        <f t="shared" si="3"/>
        <v>6281</v>
      </c>
      <c r="F90">
        <f t="shared" si="4"/>
        <v>193</v>
      </c>
    </row>
    <row r="91" spans="1:6" x14ac:dyDescent="0.3">
      <c r="A91">
        <v>90</v>
      </c>
      <c r="B91">
        <v>244</v>
      </c>
      <c r="E91">
        <f t="shared" si="3"/>
        <v>6525</v>
      </c>
      <c r="F91">
        <f t="shared" si="4"/>
        <v>193</v>
      </c>
    </row>
  </sheetData>
  <sheetProtection algorithmName="SHA-512" hashValue="Y3Aoc6Tl3cGJvL+Db6VPzeJuu6vz4HUhE9/zNUKdXKBSYgctZQSWyRgGnPi7M8OH6HoOH3rNw1ip7FDcHxJxTw==" saltValue="eErirvvTtyYbq7imxvaPxg==" spinCount="100000" sheet="1" objects="1" scenarios="1" selectLockedCells="1" selectUnlockedCells="1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C25D6-1025-488E-8B50-7D3B4789137B}">
  <dimension ref="A1:E16"/>
  <sheetViews>
    <sheetView workbookViewId="0"/>
  </sheetViews>
  <sheetFormatPr defaultRowHeight="16.5" x14ac:dyDescent="0.3"/>
  <cols>
    <col min="1" max="1" width="25.5" bestFit="1" customWidth="1"/>
  </cols>
  <sheetData>
    <row r="1" spans="1:5" x14ac:dyDescent="0.3">
      <c r="A1" t="s">
        <v>16</v>
      </c>
      <c r="B1" t="s">
        <v>21</v>
      </c>
      <c r="C1" t="s">
        <v>22</v>
      </c>
      <c r="D1" t="s">
        <v>23</v>
      </c>
    </row>
    <row r="3" spans="1:5" x14ac:dyDescent="0.3">
      <c r="A3" t="s">
        <v>0</v>
      </c>
      <c r="B3">
        <v>4</v>
      </c>
      <c r="C3">
        <v>400</v>
      </c>
    </row>
    <row r="4" spans="1:5" x14ac:dyDescent="0.3">
      <c r="A4" t="s">
        <v>18</v>
      </c>
      <c r="B4">
        <v>1</v>
      </c>
      <c r="C4">
        <v>5</v>
      </c>
      <c r="D4" t="s">
        <v>24</v>
      </c>
    </row>
    <row r="5" spans="1:5" x14ac:dyDescent="0.3">
      <c r="A5" t="s">
        <v>2</v>
      </c>
      <c r="B5">
        <v>4</v>
      </c>
      <c r="C5">
        <v>16</v>
      </c>
      <c r="D5" t="s">
        <v>24</v>
      </c>
    </row>
    <row r="6" spans="1:5" x14ac:dyDescent="0.3">
      <c r="A6" t="s">
        <v>17</v>
      </c>
      <c r="B6">
        <v>5</v>
      </c>
      <c r="C6">
        <v>16</v>
      </c>
      <c r="D6" t="s">
        <v>24</v>
      </c>
    </row>
    <row r="7" spans="1:5" x14ac:dyDescent="0.3">
      <c r="A7" t="s">
        <v>19</v>
      </c>
      <c r="B7">
        <v>2</v>
      </c>
      <c r="C7">
        <v>14</v>
      </c>
      <c r="D7" t="s">
        <v>24</v>
      </c>
    </row>
    <row r="8" spans="1:5" x14ac:dyDescent="0.3">
      <c r="A8" t="s">
        <v>20</v>
      </c>
      <c r="B8">
        <v>1</v>
      </c>
      <c r="C8">
        <v>2</v>
      </c>
      <c r="D8" t="s">
        <v>25</v>
      </c>
    </row>
    <row r="10" spans="1:5" x14ac:dyDescent="0.3">
      <c r="A10" t="s">
        <v>26</v>
      </c>
      <c r="B10" t="s">
        <v>34</v>
      </c>
      <c r="C10" t="s">
        <v>35</v>
      </c>
      <c r="D10" t="s">
        <v>36</v>
      </c>
      <c r="E10" t="s">
        <v>37</v>
      </c>
    </row>
    <row r="12" spans="1:5" x14ac:dyDescent="0.3">
      <c r="A12" t="s">
        <v>27</v>
      </c>
      <c r="B12">
        <v>55</v>
      </c>
      <c r="C12">
        <v>0</v>
      </c>
      <c r="D12">
        <v>3</v>
      </c>
      <c r="E12">
        <v>0</v>
      </c>
    </row>
    <row r="13" spans="1:5" x14ac:dyDescent="0.3">
      <c r="A13" t="s">
        <v>33</v>
      </c>
      <c r="B13">
        <v>105</v>
      </c>
      <c r="C13">
        <v>25</v>
      </c>
      <c r="D13">
        <v>5</v>
      </c>
      <c r="E13">
        <v>1</v>
      </c>
    </row>
    <row r="14" spans="1:5" x14ac:dyDescent="0.3">
      <c r="A14" t="s">
        <v>28</v>
      </c>
      <c r="B14">
        <v>280</v>
      </c>
      <c r="C14">
        <v>40</v>
      </c>
      <c r="D14">
        <v>12</v>
      </c>
      <c r="E14">
        <v>1</v>
      </c>
    </row>
    <row r="15" spans="1:5" x14ac:dyDescent="0.3">
      <c r="A15" t="s">
        <v>29</v>
      </c>
      <c r="B15">
        <v>560</v>
      </c>
      <c r="C15">
        <v>55</v>
      </c>
      <c r="D15">
        <v>19</v>
      </c>
      <c r="E15">
        <v>1</v>
      </c>
    </row>
    <row r="16" spans="1:5" x14ac:dyDescent="0.3">
      <c r="A16" t="s">
        <v>30</v>
      </c>
      <c r="B16">
        <v>945</v>
      </c>
      <c r="C16">
        <v>75</v>
      </c>
      <c r="D16">
        <v>26</v>
      </c>
      <c r="E16">
        <v>1</v>
      </c>
    </row>
  </sheetData>
  <sheetProtection algorithmName="SHA-512" hashValue="o+0OB2UD9u90O88BTylMNgpnvEwq8z2S/rj0rL3IwhjCoy8nvxzxu/L1AJj/mE3KVxV6N98lvhP7jO+0GG+qGQ==" saltValue="0zB90r7PKuFKpoHEZJsJYg==" spinCount="100000" sheet="1" selectLockedCells="1" selectUnlockedCells="1"/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581F5-FE93-4A7C-B696-8FD83F790102}">
  <dimension ref="A1:J23"/>
  <sheetViews>
    <sheetView workbookViewId="0"/>
  </sheetViews>
  <sheetFormatPr defaultRowHeight="16.5" x14ac:dyDescent="0.3"/>
  <cols>
    <col min="1" max="1" width="21.375" bestFit="1" customWidth="1"/>
    <col min="2" max="2" width="9.5" bestFit="1" customWidth="1"/>
    <col min="3" max="5" width="10.5" bestFit="1" customWidth="1"/>
    <col min="6" max="6" width="12.75" bestFit="1" customWidth="1"/>
    <col min="9" max="9" width="5.25" bestFit="1" customWidth="1"/>
    <col min="10" max="10" width="3.5" bestFit="1" customWidth="1"/>
  </cols>
  <sheetData>
    <row r="1" spans="1:10" x14ac:dyDescent="0.3">
      <c r="A1" t="s">
        <v>41</v>
      </c>
      <c r="B1" t="s">
        <v>49</v>
      </c>
      <c r="C1" t="s">
        <v>52</v>
      </c>
      <c r="D1" t="s">
        <v>51</v>
      </c>
      <c r="E1" t="s">
        <v>54</v>
      </c>
      <c r="F1" t="s">
        <v>32</v>
      </c>
      <c r="G1" t="s">
        <v>55</v>
      </c>
      <c r="I1" t="s">
        <v>31</v>
      </c>
      <c r="J1">
        <v>0</v>
      </c>
    </row>
    <row r="2" spans="1:10" x14ac:dyDescent="0.3">
      <c r="A2" t="s">
        <v>50</v>
      </c>
      <c r="B2">
        <v>2712</v>
      </c>
      <c r="I2" t="s">
        <v>7</v>
      </c>
      <c r="J2">
        <v>45</v>
      </c>
    </row>
    <row r="3" spans="1:10" x14ac:dyDescent="0.3">
      <c r="A3" t="s">
        <v>42</v>
      </c>
      <c r="B3">
        <f>1445*2</f>
        <v>2890</v>
      </c>
      <c r="C3">
        <v>9</v>
      </c>
      <c r="E3">
        <v>0.6</v>
      </c>
      <c r="F3" s="16">
        <f t="shared" ref="F3:F10" si="0">B3+E3*$B$2</f>
        <v>4517.2</v>
      </c>
      <c r="G3">
        <f>(D10-SUMPRODUCT(C4:C10,G4:G10))/C3</f>
        <v>3479.1226666666666</v>
      </c>
    </row>
    <row r="4" spans="1:10" x14ac:dyDescent="0.3">
      <c r="A4" t="s">
        <v>43</v>
      </c>
      <c r="B4">
        <f>7105*10*7</f>
        <v>497350</v>
      </c>
      <c r="C4">
        <v>66</v>
      </c>
      <c r="D4">
        <f t="shared" ref="D4:D5" si="1">IF($J$1&gt;5,1250-$J$1*50,1500-$J$1*100)</f>
        <v>1500</v>
      </c>
      <c r="E4">
        <v>35</v>
      </c>
      <c r="F4" s="16">
        <f t="shared" si="0"/>
        <v>592270</v>
      </c>
      <c r="G4">
        <f>(D9-C10-SUMPRODUCT(C6:C8,G6:G8))/D4</f>
        <v>23.128</v>
      </c>
    </row>
    <row r="5" spans="1:10" x14ac:dyDescent="0.3">
      <c r="A5" t="s">
        <v>44</v>
      </c>
      <c r="B5">
        <f>6085*8*15</f>
        <v>730200</v>
      </c>
      <c r="C5">
        <v>66</v>
      </c>
      <c r="D5">
        <f t="shared" si="1"/>
        <v>1500</v>
      </c>
      <c r="E5">
        <v>30</v>
      </c>
      <c r="F5" s="16">
        <f t="shared" si="0"/>
        <v>811560</v>
      </c>
      <c r="G5">
        <f>G4</f>
        <v>23.128</v>
      </c>
    </row>
    <row r="6" spans="1:10" x14ac:dyDescent="0.3">
      <c r="A6" t="s">
        <v>45</v>
      </c>
      <c r="B6">
        <f>7145*5*125</f>
        <v>4465625</v>
      </c>
      <c r="C6">
        <v>54</v>
      </c>
      <c r="D6">
        <f>6000-$J$1*100</f>
        <v>6000</v>
      </c>
      <c r="E6">
        <v>250</v>
      </c>
      <c r="F6" s="16">
        <f t="shared" si="0"/>
        <v>5143625</v>
      </c>
      <c r="G6">
        <f>IF($J$2&gt;=10,6,0)</f>
        <v>6</v>
      </c>
    </row>
    <row r="7" spans="1:10" x14ac:dyDescent="0.3">
      <c r="A7" t="s">
        <v>46</v>
      </c>
      <c r="B7">
        <f>1820*5</f>
        <v>9100</v>
      </c>
      <c r="C7">
        <v>66</v>
      </c>
      <c r="D7">
        <f t="shared" ref="D7:D8" si="2">12000-$J$1*100</f>
        <v>12000</v>
      </c>
      <c r="E7">
        <v>0</v>
      </c>
      <c r="F7" s="16">
        <f t="shared" si="0"/>
        <v>9100</v>
      </c>
      <c r="G7">
        <v>3</v>
      </c>
    </row>
    <row r="8" spans="1:10" x14ac:dyDescent="0.3">
      <c r="A8" t="s">
        <v>47</v>
      </c>
      <c r="B8">
        <f>13955*15*4+15045*15*18</f>
        <v>4899450</v>
      </c>
      <c r="C8">
        <v>66</v>
      </c>
      <c r="D8">
        <f t="shared" si="2"/>
        <v>12000</v>
      </c>
      <c r="E8">
        <v>0</v>
      </c>
      <c r="F8" s="16">
        <f t="shared" si="0"/>
        <v>4899450</v>
      </c>
      <c r="G8">
        <f>IF($J$2&gt;=20,3,0)</f>
        <v>3</v>
      </c>
    </row>
    <row r="9" spans="1:10" x14ac:dyDescent="0.3">
      <c r="A9" t="s">
        <v>48</v>
      </c>
      <c r="B9">
        <f>13215*14*25</f>
        <v>4625250</v>
      </c>
      <c r="C9">
        <v>327</v>
      </c>
      <c r="D9">
        <f t="shared" ref="D9:D10" si="3">36000-$J$1*100</f>
        <v>36000</v>
      </c>
      <c r="E9">
        <v>0</v>
      </c>
      <c r="F9" s="16">
        <f t="shared" si="0"/>
        <v>4625250</v>
      </c>
      <c r="G9">
        <f t="shared" ref="G9:G10" si="4">IF($J$2&gt;=45,1,0)</f>
        <v>1</v>
      </c>
    </row>
    <row r="10" spans="1:10" x14ac:dyDescent="0.3">
      <c r="A10" t="s">
        <v>53</v>
      </c>
      <c r="B10">
        <f>15620*10*50</f>
        <v>7810000</v>
      </c>
      <c r="C10">
        <v>588</v>
      </c>
      <c r="D10">
        <f t="shared" si="3"/>
        <v>36000</v>
      </c>
      <c r="E10">
        <v>0</v>
      </c>
      <c r="F10" s="16">
        <f t="shared" si="0"/>
        <v>7810000</v>
      </c>
      <c r="G10">
        <f t="shared" si="4"/>
        <v>1</v>
      </c>
    </row>
    <row r="11" spans="1:10" x14ac:dyDescent="0.3">
      <c r="A11" t="s">
        <v>56</v>
      </c>
      <c r="F11" s="16">
        <f>SUMPRODUCT(F3:F10,G3:G10)</f>
        <v>106206323.14986667</v>
      </c>
    </row>
    <row r="13" spans="1:10" x14ac:dyDescent="0.3">
      <c r="A13" t="s">
        <v>31</v>
      </c>
      <c r="B13" s="32">
        <v>0</v>
      </c>
      <c r="C13" s="32">
        <v>1</v>
      </c>
      <c r="D13" s="32">
        <v>10</v>
      </c>
      <c r="E13" s="32">
        <v>20</v>
      </c>
      <c r="F13" s="32">
        <v>45</v>
      </c>
    </row>
    <row r="14" spans="1:10" x14ac:dyDescent="0.3">
      <c r="A14" s="31">
        <v>0</v>
      </c>
      <c r="B14" s="16">
        <v>0</v>
      </c>
      <c r="C14" s="16">
        <v>49397696.467733331</v>
      </c>
      <c r="D14" s="16">
        <v>79807910.477333337</v>
      </c>
      <c r="E14" s="16">
        <v>94230321.816533327</v>
      </c>
      <c r="F14" s="16">
        <v>106206323.14986667</v>
      </c>
    </row>
    <row r="15" spans="1:10" x14ac:dyDescent="0.3">
      <c r="A15" s="31">
        <v>1</v>
      </c>
      <c r="B15" s="16">
        <v>0</v>
      </c>
      <c r="C15" s="16">
        <v>51494890.866222218</v>
      </c>
      <c r="D15" s="16">
        <v>81884467.962222219</v>
      </c>
      <c r="E15" s="16">
        <v>96294267.854222223</v>
      </c>
      <c r="F15" s="16">
        <v>108270269.18755555</v>
      </c>
    </row>
    <row r="16" spans="1:10" x14ac:dyDescent="0.3">
      <c r="A16" s="31">
        <v>2</v>
      </c>
      <c r="B16" s="16">
        <v>0</v>
      </c>
      <c r="C16" s="16">
        <v>53922452.266188033</v>
      </c>
      <c r="D16" s="16">
        <v>84288217.538803414</v>
      </c>
      <c r="E16" s="16">
        <v>98683465.760957271</v>
      </c>
      <c r="F16" s="16">
        <v>110659467.0942906</v>
      </c>
    </row>
    <row r="17" spans="1:6" x14ac:dyDescent="0.3">
      <c r="A17" s="31">
        <v>3</v>
      </c>
      <c r="B17" s="16">
        <v>0</v>
      </c>
      <c r="C17" s="16">
        <v>56762972.417999998</v>
      </c>
      <c r="D17" s="16">
        <v>87100957.229999989</v>
      </c>
      <c r="E17" s="16">
        <v>101479228.50400001</v>
      </c>
      <c r="F17" s="16">
        <v>113455229.83733334</v>
      </c>
    </row>
    <row r="18" spans="1:6" x14ac:dyDescent="0.3">
      <c r="A18" s="31">
        <v>4</v>
      </c>
      <c r="B18" s="16">
        <v>0</v>
      </c>
      <c r="C18" s="16">
        <v>60129076.435797982</v>
      </c>
      <c r="D18" s="16">
        <v>90434229.794343427</v>
      </c>
      <c r="E18" s="16">
        <v>104792437.40234342</v>
      </c>
      <c r="F18" s="16">
        <v>116768438.73567677</v>
      </c>
    </row>
    <row r="19" spans="1:6" x14ac:dyDescent="0.3">
      <c r="A19" s="31">
        <v>5</v>
      </c>
      <c r="B19" s="16">
        <v>0</v>
      </c>
      <c r="C19" s="16">
        <v>64178439.479377776</v>
      </c>
      <c r="D19" s="16">
        <v>94444195.093777776</v>
      </c>
      <c r="E19" s="16">
        <v>108778326.30257778</v>
      </c>
      <c r="F19" s="16">
        <v>120754327.63591111</v>
      </c>
    </row>
    <row r="20" spans="1:6" x14ac:dyDescent="0.3">
      <c r="A20" s="31">
        <v>6</v>
      </c>
      <c r="B20" s="16">
        <v>0</v>
      </c>
      <c r="C20" s="16">
        <v>66431275.629754379</v>
      </c>
      <c r="D20" s="16">
        <v>96674222.02385965</v>
      </c>
      <c r="E20" s="16">
        <v>110994414.26470175</v>
      </c>
      <c r="F20" s="16">
        <v>122970415.5980351</v>
      </c>
    </row>
    <row r="21" spans="1:6" x14ac:dyDescent="0.3">
      <c r="A21" s="31">
        <v>7</v>
      </c>
      <c r="B21" s="16">
        <v>0</v>
      </c>
      <c r="C21" s="16">
        <v>68940003.698074073</v>
      </c>
      <c r="D21" s="16">
        <v>99157606.514074072</v>
      </c>
      <c r="E21" s="16">
        <v>113462311.01274073</v>
      </c>
      <c r="F21" s="16">
        <v>125438312.34607407</v>
      </c>
    </row>
    <row r="22" spans="1:6" x14ac:dyDescent="0.3">
      <c r="A22" s="31">
        <v>8</v>
      </c>
      <c r="B22" s="16">
        <v>0</v>
      </c>
      <c r="C22" s="16">
        <v>71749781.081620917</v>
      </c>
      <c r="D22" s="16">
        <v>101939058.72209151</v>
      </c>
      <c r="E22" s="16">
        <v>116226453.39126797</v>
      </c>
      <c r="F22" s="16">
        <v>128202454.72460131</v>
      </c>
    </row>
    <row r="23" spans="1:6" x14ac:dyDescent="0.3">
      <c r="A23" s="31">
        <v>9</v>
      </c>
      <c r="B23" s="16">
        <v>0</v>
      </c>
      <c r="C23" s="16">
        <v>74917054.526999995</v>
      </c>
      <c r="D23" s="16">
        <v>105074466.345</v>
      </c>
      <c r="E23" s="16">
        <v>119342387.456</v>
      </c>
      <c r="F23" s="16">
        <v>131318388.78933334</v>
      </c>
    </row>
  </sheetData>
  <sheetProtection selectLockedCells="1" selectUnlockedCells="1"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메인</vt:lpstr>
      <vt:lpstr>강화효율</vt:lpstr>
      <vt:lpstr>장비</vt:lpstr>
      <vt:lpstr>레벨</vt:lpstr>
      <vt:lpstr>결정</vt:lpstr>
      <vt:lpstr>쿨감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승연 임</dc:creator>
  <cp:lastModifiedBy>승연 임</cp:lastModifiedBy>
  <dcterms:created xsi:type="dcterms:W3CDTF">2026-03-27T13:04:54Z</dcterms:created>
  <dcterms:modified xsi:type="dcterms:W3CDTF">2026-03-29T10:30:07Z</dcterms:modified>
</cp:coreProperties>
</file>