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updateLinks="always"/>
  <mc:AlternateContent xmlns:mc="http://schemas.openxmlformats.org/markup-compatibility/2006">
    <mc:Choice Requires="x15">
      <x15ac:absPath xmlns:x15ac="http://schemas.microsoft.com/office/spreadsheetml/2010/11/ac" url="https://d.docs.live.net/21a5196eeb03b082/"/>
    </mc:Choice>
  </mc:AlternateContent>
  <xr:revisionPtr revIDLastSave="0" documentId="8_{96A57A20-75EA-4B00-8DB3-2AB7D0AD2AB3}" xr6:coauthVersionLast="47" xr6:coauthVersionMax="47" xr10:uidLastSave="{00000000-0000-0000-0000-000000000000}"/>
  <bookViews>
    <workbookView xWindow="-28898" yWindow="-98" windowWidth="28996" windowHeight="15675" xr2:uid="{18E8A636-F87E-4B46-B141-DC1001E77BAB}"/>
  </bookViews>
  <sheets>
    <sheet name="경험치 효율" sheetId="1" r:id="rId1"/>
    <sheet name="200이상" sheetId="3" r:id="rId2"/>
    <sheet name="경험치 BM" sheetId="4" r:id="rId3"/>
    <sheet name="200미만" sheetId="2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4" i="1" l="1"/>
  <c r="G14" i="1" s="1"/>
  <c r="U28" i="1"/>
  <c r="H67" i="3" l="1"/>
  <c r="H66" i="3"/>
  <c r="N29" i="1"/>
  <c r="M25" i="1" s="1"/>
  <c r="N28" i="1"/>
  <c r="M11" i="1" s="1"/>
  <c r="O11" i="1" s="1"/>
  <c r="P3" i="4"/>
  <c r="P4" i="4"/>
  <c r="L22" i="4"/>
  <c r="L21" i="4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M21" i="4"/>
  <c r="M22" i="4"/>
  <c r="L13" i="4"/>
  <c r="L12" i="4"/>
  <c r="L11" i="4"/>
  <c r="L10" i="4"/>
  <c r="M10" i="4" s="1"/>
  <c r="L9" i="4"/>
  <c r="M9" i="4" s="1"/>
  <c r="L8" i="4"/>
  <c r="M8" i="4" s="1"/>
  <c r="L5" i="4"/>
  <c r="M5" i="4" s="1"/>
  <c r="L6" i="4"/>
  <c r="M6" i="4" s="1"/>
  <c r="L7" i="4"/>
  <c r="M7" i="4" s="1"/>
  <c r="L4" i="4"/>
  <c r="M4" i="4" s="1"/>
  <c r="L3" i="4"/>
  <c r="M3" i="4" s="1"/>
  <c r="M11" i="4"/>
  <c r="M12" i="4"/>
  <c r="M1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F27" i="1"/>
  <c r="T42" i="3"/>
  <c r="T41" i="3"/>
  <c r="T40" i="3"/>
  <c r="T39" i="3"/>
  <c r="T38" i="3"/>
  <c r="T37" i="3"/>
  <c r="T36" i="3"/>
  <c r="T35" i="3"/>
  <c r="T34" i="3"/>
  <c r="T33" i="3"/>
  <c r="T32" i="3"/>
  <c r="H62" i="3"/>
  <c r="G62" i="3"/>
  <c r="G32" i="3"/>
  <c r="T31" i="3"/>
  <c r="H61" i="3"/>
  <c r="G61" i="3"/>
  <c r="H31" i="3"/>
  <c r="G31" i="3"/>
  <c r="T30" i="3"/>
  <c r="H60" i="3"/>
  <c r="G60" i="3"/>
  <c r="H30" i="3"/>
  <c r="G30" i="3"/>
  <c r="T29" i="3"/>
  <c r="H59" i="3"/>
  <c r="G59" i="3"/>
  <c r="H29" i="3"/>
  <c r="G29" i="3"/>
  <c r="T28" i="3"/>
  <c r="H58" i="3"/>
  <c r="G58" i="3"/>
  <c r="H28" i="3"/>
  <c r="G28" i="3"/>
  <c r="T27" i="3"/>
  <c r="H57" i="3"/>
  <c r="G57" i="3"/>
  <c r="H27" i="3"/>
  <c r="G27" i="3"/>
  <c r="T26" i="3"/>
  <c r="H56" i="3"/>
  <c r="G56" i="3"/>
  <c r="H26" i="3"/>
  <c r="G26" i="3"/>
  <c r="T25" i="3"/>
  <c r="H55" i="3"/>
  <c r="G55" i="3"/>
  <c r="H25" i="3"/>
  <c r="G25" i="3"/>
  <c r="T24" i="3"/>
  <c r="H54" i="3"/>
  <c r="G54" i="3"/>
  <c r="H24" i="3"/>
  <c r="G24" i="3"/>
  <c r="T23" i="3"/>
  <c r="H53" i="3"/>
  <c r="G53" i="3"/>
  <c r="H23" i="3"/>
  <c r="G23" i="3"/>
  <c r="T22" i="3"/>
  <c r="H52" i="3"/>
  <c r="G52" i="3"/>
  <c r="H22" i="3"/>
  <c r="G22" i="3"/>
  <c r="T21" i="3"/>
  <c r="H51" i="3"/>
  <c r="G51" i="3"/>
  <c r="H21" i="3"/>
  <c r="G21" i="3"/>
  <c r="T20" i="3"/>
  <c r="H50" i="3"/>
  <c r="G50" i="3"/>
  <c r="H20" i="3"/>
  <c r="G20" i="3"/>
  <c r="T19" i="3"/>
  <c r="H49" i="3"/>
  <c r="G49" i="3"/>
  <c r="H19" i="3"/>
  <c r="G19" i="3"/>
  <c r="T18" i="3"/>
  <c r="H48" i="3"/>
  <c r="G48" i="3"/>
  <c r="H18" i="3"/>
  <c r="G18" i="3"/>
  <c r="T17" i="3"/>
  <c r="H47" i="3"/>
  <c r="G47" i="3"/>
  <c r="H17" i="3"/>
  <c r="G17" i="3"/>
  <c r="T16" i="3"/>
  <c r="H46" i="3"/>
  <c r="G46" i="3"/>
  <c r="H16" i="3"/>
  <c r="G16" i="3"/>
  <c r="T15" i="3"/>
  <c r="H45" i="3"/>
  <c r="G45" i="3"/>
  <c r="H15" i="3"/>
  <c r="G15" i="3"/>
  <c r="T14" i="3"/>
  <c r="H44" i="3"/>
  <c r="G44" i="3"/>
  <c r="H14" i="3"/>
  <c r="G14" i="3"/>
  <c r="T13" i="3"/>
  <c r="H43" i="3"/>
  <c r="G43" i="3"/>
  <c r="H13" i="3"/>
  <c r="G13" i="3"/>
  <c r="T12" i="3"/>
  <c r="H42" i="3"/>
  <c r="G42" i="3"/>
  <c r="G12" i="3"/>
  <c r="T11" i="3"/>
  <c r="H41" i="3"/>
  <c r="G41" i="3"/>
  <c r="H11" i="3"/>
  <c r="G11" i="3"/>
  <c r="T10" i="3"/>
  <c r="H40" i="3"/>
  <c r="G40" i="3"/>
  <c r="H10" i="3"/>
  <c r="G10" i="3"/>
  <c r="T9" i="3"/>
  <c r="H39" i="3"/>
  <c r="G39" i="3"/>
  <c r="H9" i="3"/>
  <c r="G9" i="3"/>
  <c r="T8" i="3"/>
  <c r="H38" i="3"/>
  <c r="G38" i="3"/>
  <c r="H8" i="3"/>
  <c r="G8" i="3"/>
  <c r="T7" i="3"/>
  <c r="H37" i="3"/>
  <c r="G37" i="3"/>
  <c r="H7" i="3"/>
  <c r="G7" i="3"/>
  <c r="T6" i="3"/>
  <c r="H36" i="3"/>
  <c r="G36" i="3"/>
  <c r="H6" i="3"/>
  <c r="G6" i="3"/>
  <c r="H65" i="3"/>
  <c r="T5" i="3"/>
  <c r="H35" i="3"/>
  <c r="G35" i="3"/>
  <c r="H5" i="3"/>
  <c r="G5" i="3"/>
  <c r="H64" i="3"/>
  <c r="U4" i="3"/>
  <c r="T4" i="3"/>
  <c r="H34" i="3"/>
  <c r="G34" i="3"/>
  <c r="H4" i="3"/>
  <c r="G4" i="3"/>
  <c r="H63" i="3"/>
  <c r="U3" i="3"/>
  <c r="T3" i="3"/>
  <c r="H33" i="3"/>
  <c r="G33" i="3"/>
  <c r="G3" i="3"/>
  <c r="F28" i="1" l="1"/>
  <c r="E13" i="1" s="1"/>
  <c r="G13" i="1" s="1"/>
  <c r="E10" i="1" s="1"/>
</calcChain>
</file>

<file path=xl/sharedStrings.xml><?xml version="1.0" encoding="utf-8"?>
<sst xmlns="http://schemas.openxmlformats.org/spreadsheetml/2006/main" count="163" uniqueCount="104">
  <si>
    <r>
      <rPr>
        <sz val="18"/>
        <color rgb="FF000000"/>
        <rFont val="Aptos Narrow"/>
        <scheme val="minor"/>
      </rPr>
      <t xml:space="preserve">캐릭터 레벨 </t>
    </r>
    <r>
      <rPr>
        <b/>
        <sz val="18"/>
        <color rgb="FFFF0000"/>
        <rFont val="Aptos Narrow"/>
        <scheme val="minor"/>
      </rPr>
      <t>260 이상</t>
    </r>
  </si>
  <si>
    <t>입력</t>
    <phoneticPr fontId="1" type="noConversion"/>
  </si>
  <si>
    <r>
      <rPr>
        <sz val="16"/>
        <color rgb="FF000000"/>
        <rFont val="Aptos Narrow"/>
        <scheme val="minor"/>
      </rPr>
      <t>캐릭터 레벨</t>
    </r>
    <r>
      <rPr>
        <b/>
        <sz val="16"/>
        <color rgb="FF000000"/>
        <rFont val="Aptos Narrow"/>
        <scheme val="minor"/>
      </rPr>
      <t xml:space="preserve"> </t>
    </r>
    <r>
      <rPr>
        <b/>
        <sz val="16"/>
        <color rgb="FFFF0000"/>
        <rFont val="Aptos Narrow"/>
        <scheme val="minor"/>
      </rPr>
      <t>260 미만</t>
    </r>
  </si>
  <si>
    <t>최적화</t>
    <phoneticPr fontId="1" type="noConversion"/>
  </si>
  <si>
    <t>캐릭터 레벨</t>
    <phoneticPr fontId="1" type="noConversion"/>
  </si>
  <si>
    <t>몬스터 레벨</t>
    <phoneticPr fontId="1" type="noConversion"/>
  </si>
  <si>
    <t>품목</t>
    <phoneticPr fontId="1" type="noConversion"/>
  </si>
  <si>
    <t>가격</t>
    <phoneticPr fontId="1" type="noConversion"/>
  </si>
  <si>
    <t>악몽의 메아리</t>
    <phoneticPr fontId="1" type="noConversion"/>
  </si>
  <si>
    <t>메카베리</t>
    <phoneticPr fontId="1" type="noConversion"/>
  </si>
  <si>
    <t>메아리 = 메카</t>
  </si>
  <si>
    <t>경험치</t>
  </si>
  <si>
    <t>1 억당 경험치</t>
    <phoneticPr fontId="1" type="noConversion"/>
  </si>
  <si>
    <t>악몽의 메아리 몹 경험치만 포함된 수치</t>
  </si>
  <si>
    <t>숨겨진 사냥터</t>
    <phoneticPr fontId="1" type="noConversion"/>
  </si>
  <si>
    <t>여로</t>
    <phoneticPr fontId="1" type="noConversion"/>
  </si>
  <si>
    <t>리멘</t>
    <phoneticPr fontId="1" type="noConversion"/>
  </si>
  <si>
    <t>올 13레벨</t>
    <phoneticPr fontId="1" type="noConversion"/>
  </si>
  <si>
    <t>캐릭터 경험치통</t>
    <phoneticPr fontId="1" type="noConversion"/>
  </si>
  <si>
    <t>몹 경험치</t>
    <phoneticPr fontId="1" type="noConversion"/>
  </si>
  <si>
    <t>레벨</t>
  </si>
  <si>
    <t>필요 경험치</t>
  </si>
  <si>
    <t>전 구간
대비 증가율</t>
    <phoneticPr fontId="1" type="noConversion"/>
  </si>
  <si>
    <t>누적 경험치</t>
  </si>
  <si>
    <t>몬스터레벨</t>
    <phoneticPr fontId="1" type="noConversion"/>
  </si>
  <si>
    <t>몬스터
경험치</t>
    <phoneticPr fontId="1" type="noConversion"/>
  </si>
  <si>
    <t>입장 가능 가장 높은 경험치</t>
    <phoneticPr fontId="1" type="noConversion"/>
  </si>
  <si>
    <t>입장 레벨</t>
    <phoneticPr fontId="1" type="noConversion"/>
  </si>
  <si>
    <t>그란디스
몬스터
레벨</t>
    <phoneticPr fontId="1" type="noConversion"/>
  </si>
  <si>
    <t>불타는 왕립 도서관</t>
    <phoneticPr fontId="1" type="noConversion"/>
  </si>
  <si>
    <t>숨겨진 호숫가</t>
    <phoneticPr fontId="1" type="noConversion"/>
  </si>
  <si>
    <t>종착지 없는 횡단 열차</t>
    <phoneticPr fontId="1" type="noConversion"/>
  </si>
  <si>
    <t>숨겨진 M타워</t>
    <phoneticPr fontId="1" type="noConversion"/>
  </si>
  <si>
    <t>잠긴 문 뒤 실험실 3 이상</t>
    <phoneticPr fontId="1" type="noConversion"/>
  </si>
  <si>
    <t>거대한 꼬리</t>
    <phoneticPr fontId="1" type="noConversion"/>
  </si>
  <si>
    <t>참혹한 흔적의 겨울 3 이상</t>
    <phoneticPr fontId="1" type="noConversion"/>
  </si>
  <si>
    <t>얌얌 숨겨진 ~ [3]</t>
    <phoneticPr fontId="1" type="noConversion"/>
  </si>
  <si>
    <t xml:space="preserve">최상층 통로 </t>
    <phoneticPr fontId="1" type="noConversion"/>
  </si>
  <si>
    <t>악몽의 시계탑5층</t>
    <phoneticPr fontId="1" type="noConversion"/>
  </si>
  <si>
    <t>-</t>
    <phoneticPr fontId="1" type="noConversion"/>
  </si>
  <si>
    <t>가라앉는 유적지</t>
    <phoneticPr fontId="1" type="noConversion"/>
  </si>
  <si>
    <t>밤의 길 / 환영의 길</t>
    <phoneticPr fontId="1" type="noConversion"/>
  </si>
  <si>
    <t>고브의 작업실</t>
    <phoneticPr fontId="1" type="noConversion"/>
  </si>
  <si>
    <t>다섯 갈래 동굴 아랫길</t>
    <phoneticPr fontId="1" type="noConversion"/>
  </si>
  <si>
    <t>부스터</t>
    <phoneticPr fontId="1" type="noConversion"/>
  </si>
  <si>
    <t>100초 동안 한 번에 10마리씩 19회 소환</t>
    <phoneticPr fontId="1" type="noConversion"/>
  </si>
  <si>
    <t>총 마릿수</t>
    <phoneticPr fontId="1" type="noConversion"/>
  </si>
  <si>
    <t>이름</t>
    <phoneticPr fontId="1" type="noConversion"/>
  </si>
  <si>
    <t>조건</t>
    <phoneticPr fontId="1" type="noConversion"/>
  </si>
  <si>
    <t>배수</t>
    <phoneticPr fontId="1" type="noConversion"/>
  </si>
  <si>
    <t>일일제한</t>
    <phoneticPr fontId="1" type="noConversion"/>
  </si>
  <si>
    <t>추가 경험치 효과</t>
    <phoneticPr fontId="1" type="noConversion"/>
  </si>
  <si>
    <t>그날의 트뤼에페4</t>
  </si>
  <si>
    <t>VIP 부스터</t>
    <phoneticPr fontId="1" type="noConversion"/>
  </si>
  <si>
    <t>101 레벨</t>
    <phoneticPr fontId="1" type="noConversion"/>
  </si>
  <si>
    <t>O</t>
    <phoneticPr fontId="1" type="noConversion"/>
  </si>
  <si>
    <t>HEXA 부스터</t>
    <phoneticPr fontId="1" type="noConversion"/>
  </si>
  <si>
    <t>6차 전직</t>
    <phoneticPr fontId="1" type="noConversion"/>
  </si>
  <si>
    <t>황급 태엽</t>
    <phoneticPr fontId="1" type="noConversion"/>
  </si>
  <si>
    <t>영겁의 황금 태엽</t>
    <phoneticPr fontId="1" type="noConversion"/>
  </si>
  <si>
    <t>익스프레스 부스터</t>
    <phoneticPr fontId="1" type="noConversion"/>
  </si>
  <si>
    <t>260 레벨</t>
    <phoneticPr fontId="1" type="noConversion"/>
  </si>
  <si>
    <t>192~268.8</t>
    <phoneticPr fontId="1" type="noConversion"/>
  </si>
  <si>
    <t>X</t>
    <phoneticPr fontId="1" type="noConversion"/>
  </si>
  <si>
    <t>거울에 비친 빛의 신전4</t>
    <phoneticPr fontId="1" type="noConversion"/>
  </si>
  <si>
    <t>200 레벨</t>
    <phoneticPr fontId="1" type="noConversion"/>
  </si>
  <si>
    <t>메이플 ID당 3회</t>
    <phoneticPr fontId="1" type="noConversion"/>
  </si>
  <si>
    <t>별이 삼켜진 심해 4이상</t>
    <phoneticPr fontId="1" type="noConversion"/>
  </si>
  <si>
    <t>공허의 파도 전 맵</t>
    <phoneticPr fontId="1" type="noConversion"/>
  </si>
  <si>
    <t>고통의 미궁 최심부 전 맵</t>
    <phoneticPr fontId="1" type="noConversion"/>
  </si>
  <si>
    <t>세계가 끝나는 곳 1-9</t>
    <phoneticPr fontId="1" type="noConversion"/>
  </si>
  <si>
    <t>세계가 끝나는 곳 2-8</t>
    <phoneticPr fontId="1" type="noConversion"/>
  </si>
  <si>
    <t>VIP 사우나</t>
  </si>
  <si>
    <t>경험치(1시간)</t>
  </si>
  <si>
    <t>몬스터파크</t>
  </si>
  <si>
    <t>상급 EXP 쿠폰</t>
  </si>
  <si>
    <t>1개당 경험치</t>
  </si>
  <si>
    <t>메카베리 농장</t>
  </si>
  <si>
    <t>경험치 배율</t>
  </si>
  <si>
    <t>몬스터 레벨</t>
  </si>
  <si>
    <t>익스프레스 부스터</t>
  </si>
  <si>
    <t>세르니움</t>
  </si>
  <si>
    <t>레벨</t>
    <phoneticPr fontId="1" type="noConversion"/>
  </si>
  <si>
    <t>배율</t>
    <phoneticPr fontId="1" type="noConversion"/>
  </si>
  <si>
    <t>아르크스</t>
  </si>
  <si>
    <t>260~264</t>
    <phoneticPr fontId="1" type="noConversion"/>
  </si>
  <si>
    <t>오디움</t>
  </si>
  <si>
    <t>265~269</t>
    <phoneticPr fontId="1" type="noConversion"/>
  </si>
  <si>
    <t>도원경</t>
  </si>
  <si>
    <t>270~279</t>
    <phoneticPr fontId="1" type="noConversion"/>
  </si>
  <si>
    <t>아르테리아</t>
  </si>
  <si>
    <t>280~289</t>
    <phoneticPr fontId="1" type="noConversion"/>
  </si>
  <si>
    <t>카르시온</t>
  </si>
  <si>
    <t>290~294</t>
    <phoneticPr fontId="1" type="noConversion"/>
  </si>
  <si>
    <t>탈라하트</t>
  </si>
  <si>
    <t>메카베리 농장</t>
    <phoneticPr fontId="1" type="noConversion"/>
  </si>
  <si>
    <t>기본 배율</t>
    <phoneticPr fontId="1" type="noConversion"/>
  </si>
  <si>
    <t>280~284</t>
    <phoneticPr fontId="1" type="noConversion"/>
  </si>
  <si>
    <t>285~289</t>
    <phoneticPr fontId="1" type="noConversion"/>
  </si>
  <si>
    <t>290~299</t>
    <phoneticPr fontId="1" type="noConversion"/>
  </si>
  <si>
    <t>전 구간 대비
증가율</t>
    <phoneticPr fontId="1" type="noConversion"/>
  </si>
  <si>
    <t>몬스터
 레벨</t>
    <phoneticPr fontId="1" type="noConversion"/>
  </si>
  <si>
    <t>몬스터
 경험치</t>
    <phoneticPr fontId="1" type="noConversion"/>
  </si>
  <si>
    <r>
      <t>571,115,568</t>
    </r>
    <r>
      <rPr>
        <sz val="11"/>
        <color theme="1"/>
        <rFont val="맑은 고딕"/>
        <family val="3"/>
        <charset val="129"/>
        <scheme val="minor"/>
      </rPr>
      <t>[12]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</si>
</sst>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0%"/>
    <numFmt numFmtId="178" formatCode="0.000%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Noto Sans KR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Noto Sans KR"/>
      <family val="3"/>
      <charset val="129"/>
    </font>
    <font>
      <b/>
      <sz val="10"/>
      <color theme="1"/>
      <name val="Noto Sans KR"/>
      <family val="3"/>
      <charset val="129"/>
    </font>
    <font>
      <sz val="10"/>
      <color rgb="FF212529"/>
      <name val="Noto Sans KR"/>
      <family val="3"/>
      <charset val="129"/>
    </font>
    <font>
      <sz val="10"/>
      <color rgb="FF000000"/>
      <name val="Noto Sans KR"/>
      <family val="3"/>
      <charset val="129"/>
    </font>
    <font>
      <sz val="18"/>
      <color theme="1"/>
      <name val="맑은 고딕"/>
      <family val="2"/>
      <charset val="129"/>
      <scheme val="minor"/>
    </font>
    <font>
      <sz val="18"/>
      <color rgb="FF000000"/>
      <name val="Aptos Narrow"/>
      <scheme val="minor"/>
    </font>
    <font>
      <sz val="18"/>
      <color theme="1"/>
      <name val="Aptos Narrow"/>
      <scheme val="minor"/>
    </font>
    <font>
      <b/>
      <sz val="18"/>
      <color rgb="FFFF0000"/>
      <name val="Aptos Narrow"/>
      <scheme val="min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b/>
      <sz val="16"/>
      <color rgb="FF000000"/>
      <name val="Aptos Narrow"/>
      <scheme val="minor"/>
    </font>
    <font>
      <b/>
      <sz val="16"/>
      <color rgb="FFFF0000"/>
      <name val="Aptos Narrow"/>
      <scheme val="minor"/>
    </font>
    <font>
      <sz val="16"/>
      <color theme="1"/>
      <name val="맑은 고딕"/>
      <family val="2"/>
      <charset val="129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8A19A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medium">
        <color rgb="FF383B40"/>
      </left>
      <right style="medium">
        <color rgb="FF383B40"/>
      </right>
      <top style="medium">
        <color rgb="FF383B40"/>
      </top>
      <bottom style="medium">
        <color rgb="FF383B40"/>
      </bottom>
      <diagonal/>
    </border>
    <border>
      <left/>
      <right style="medium">
        <color rgb="FF383B40"/>
      </right>
      <top style="medium">
        <color rgb="FF383B40"/>
      </top>
      <bottom style="medium">
        <color rgb="FF383B40"/>
      </bottom>
      <diagonal/>
    </border>
    <border>
      <left style="medium">
        <color rgb="FF383B40"/>
      </left>
      <right/>
      <top style="medium">
        <color rgb="FF383B40"/>
      </top>
      <bottom style="medium">
        <color rgb="FF383B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383B40"/>
      </right>
      <top style="medium">
        <color rgb="FF000000"/>
      </top>
      <bottom style="medium">
        <color rgb="FF000000"/>
      </bottom>
      <diagonal/>
    </border>
    <border>
      <left style="medium">
        <color rgb="FF383B4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 wrapText="1"/>
    </xf>
    <xf numFmtId="3" fontId="0" fillId="3" borderId="1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9" borderId="10" xfId="0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0" fontId="7" fillId="9" borderId="10" xfId="0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/>
    </xf>
    <xf numFmtId="178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6" fontId="0" fillId="11" borderId="4" xfId="0" applyNumberFormat="1" applyFill="1" applyBorder="1" applyAlignment="1">
      <alignment horizontal="center" vertical="center"/>
    </xf>
    <xf numFmtId="176" fontId="0" fillId="13" borderId="4" xfId="0" applyNumberFormat="1" applyFill="1" applyBorder="1" applyAlignment="1">
      <alignment horizontal="center" vertical="center"/>
    </xf>
    <xf numFmtId="177" fontId="0" fillId="14" borderId="4" xfId="0" applyNumberFormat="1" applyFill="1" applyBorder="1" applyAlignment="1">
      <alignment horizontal="center" vertical="center"/>
    </xf>
    <xf numFmtId="176" fontId="0" fillId="15" borderId="0" xfId="0" applyNumberFormat="1" applyFill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8" fontId="0" fillId="14" borderId="4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76" fontId="0" fillId="11" borderId="12" xfId="0" applyNumberFormat="1" applyFill="1" applyBorder="1" applyAlignment="1">
      <alignment horizontal="center" vertical="center"/>
    </xf>
    <xf numFmtId="176" fontId="0" fillId="7" borderId="12" xfId="0" applyNumberFormat="1" applyFill="1" applyBorder="1" applyAlignment="1">
      <alignment horizontal="center" vertical="center"/>
    </xf>
    <xf numFmtId="176" fontId="0" fillId="10" borderId="4" xfId="0" applyNumberForma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12" borderId="4" xfId="0" applyNumberFormat="1" applyFill="1" applyBorder="1" applyAlignment="1">
      <alignment horizontal="center" vertical="center"/>
    </xf>
    <xf numFmtId="176" fontId="0" fillId="7" borderId="4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76" fontId="0" fillId="7" borderId="19" xfId="0" applyNumberFormat="1" applyFill="1" applyBorder="1" applyAlignment="1">
      <alignment horizontal="center" vertical="center"/>
    </xf>
    <xf numFmtId="176" fontId="0" fillId="7" borderId="32" xfId="0" applyNumberFormat="1" applyFill="1" applyBorder="1" applyAlignment="1">
      <alignment horizontal="center" vertical="center"/>
    </xf>
    <xf numFmtId="176" fontId="0" fillId="10" borderId="4" xfId="0" applyNumberForma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8" fillId="11" borderId="20" xfId="0" applyNumberFormat="1" applyFont="1" applyFill="1" applyBorder="1" applyAlignment="1">
      <alignment horizontal="center" vertical="center"/>
    </xf>
    <xf numFmtId="176" fontId="8" fillId="11" borderId="21" xfId="0" applyNumberFormat="1" applyFont="1" applyFill="1" applyBorder="1" applyAlignment="1">
      <alignment horizontal="center" vertical="center"/>
    </xf>
    <xf numFmtId="176" fontId="8" fillId="11" borderId="22" xfId="0" applyNumberFormat="1" applyFont="1" applyFill="1" applyBorder="1" applyAlignment="1">
      <alignment horizontal="center" vertical="center"/>
    </xf>
    <xf numFmtId="176" fontId="8" fillId="11" borderId="23" xfId="0" applyNumberFormat="1" applyFont="1" applyFill="1" applyBorder="1" applyAlignment="1">
      <alignment horizontal="center" vertical="center"/>
    </xf>
    <xf numFmtId="176" fontId="8" fillId="11" borderId="0" xfId="0" applyNumberFormat="1" applyFont="1" applyFill="1" applyBorder="1" applyAlignment="1">
      <alignment horizontal="center" vertical="center"/>
    </xf>
    <xf numFmtId="176" fontId="8" fillId="11" borderId="24" xfId="0" applyNumberFormat="1" applyFont="1" applyFill="1" applyBorder="1" applyAlignment="1">
      <alignment horizontal="center" vertical="center"/>
    </xf>
    <xf numFmtId="176" fontId="8" fillId="11" borderId="25" xfId="0" applyNumberFormat="1" applyFont="1" applyFill="1" applyBorder="1" applyAlignment="1">
      <alignment horizontal="center" vertical="center"/>
    </xf>
    <xf numFmtId="176" fontId="8" fillId="11" borderId="26" xfId="0" applyNumberFormat="1" applyFont="1" applyFill="1" applyBorder="1" applyAlignment="1">
      <alignment horizontal="center" vertical="center"/>
    </xf>
    <xf numFmtId="176" fontId="8" fillId="11" borderId="27" xfId="0" applyNumberFormat="1" applyFont="1" applyFill="1" applyBorder="1" applyAlignment="1">
      <alignment horizontal="center" vertical="center"/>
    </xf>
    <xf numFmtId="176" fontId="0" fillId="12" borderId="4" xfId="0" applyNumberFormat="1" applyFill="1" applyBorder="1" applyAlignment="1">
      <alignment horizontal="center" vertical="center"/>
    </xf>
    <xf numFmtId="176" fontId="0" fillId="7" borderId="4" xfId="0" applyNumberFormat="1" applyFill="1" applyBorder="1" applyAlignment="1">
      <alignment horizontal="center" vertical="center"/>
    </xf>
    <xf numFmtId="176" fontId="0" fillId="12" borderId="13" xfId="0" applyNumberFormat="1" applyFill="1" applyBorder="1" applyAlignment="1">
      <alignment horizontal="center" vertical="center"/>
    </xf>
    <xf numFmtId="176" fontId="0" fillId="12" borderId="14" xfId="0" applyNumberFormat="1" applyFill="1" applyBorder="1" applyAlignment="1">
      <alignment horizontal="center" vertical="center"/>
    </xf>
    <xf numFmtId="176" fontId="0" fillId="7" borderId="11" xfId="0" applyNumberFormat="1" applyFill="1" applyBorder="1" applyAlignment="1">
      <alignment horizontal="center" vertical="center"/>
    </xf>
    <xf numFmtId="176" fontId="0" fillId="7" borderId="6" xfId="0" applyNumberFormat="1" applyFill="1" applyBorder="1" applyAlignment="1">
      <alignment horizontal="center" vertical="center"/>
    </xf>
    <xf numFmtId="176" fontId="0" fillId="10" borderId="11" xfId="0" applyNumberFormat="1" applyFill="1" applyBorder="1" applyAlignment="1">
      <alignment horizontal="center" vertical="center"/>
    </xf>
    <xf numFmtId="176" fontId="0" fillId="10" borderId="5" xfId="0" applyNumberFormat="1" applyFill="1" applyBorder="1" applyAlignment="1">
      <alignment horizontal="center" vertical="center"/>
    </xf>
    <xf numFmtId="176" fontId="0" fillId="10" borderId="6" xfId="0" applyNumberFormat="1" applyFill="1" applyBorder="1" applyAlignment="1">
      <alignment horizontal="center" vertical="center"/>
    </xf>
    <xf numFmtId="176" fontId="0" fillId="14" borderId="11" xfId="0" applyNumberFormat="1" applyFill="1" applyBorder="1" applyAlignment="1">
      <alignment horizontal="center" vertical="center"/>
    </xf>
    <xf numFmtId="176" fontId="0" fillId="14" borderId="6" xfId="0" applyNumberFormat="1" applyFill="1" applyBorder="1" applyAlignment="1">
      <alignment horizontal="center" vertical="center"/>
    </xf>
    <xf numFmtId="176" fontId="0" fillId="12" borderId="11" xfId="0" applyNumberFormat="1" applyFill="1" applyBorder="1" applyAlignment="1">
      <alignment horizontal="center" vertical="center"/>
    </xf>
    <xf numFmtId="176" fontId="0" fillId="12" borderId="6" xfId="0" applyNumberFormat="1" applyFill="1" applyBorder="1" applyAlignment="1">
      <alignment horizontal="center" vertical="center"/>
    </xf>
    <xf numFmtId="178" fontId="0" fillId="14" borderId="11" xfId="0" applyNumberFormat="1" applyFill="1" applyBorder="1" applyAlignment="1">
      <alignment horizontal="center" vertical="center"/>
    </xf>
    <xf numFmtId="178" fontId="0" fillId="14" borderId="6" xfId="0" applyNumberFormat="1" applyFill="1" applyBorder="1" applyAlignment="1">
      <alignment horizontal="center" vertical="center"/>
    </xf>
    <xf numFmtId="176" fontId="10" fillId="4" borderId="20" xfId="0" applyNumberFormat="1" applyFont="1" applyFill="1" applyBorder="1" applyAlignment="1">
      <alignment horizontal="center" vertical="center"/>
    </xf>
    <xf numFmtId="176" fontId="8" fillId="4" borderId="22" xfId="0" applyNumberFormat="1" applyFont="1" applyFill="1" applyBorder="1" applyAlignment="1">
      <alignment horizontal="center" vertical="center"/>
    </xf>
    <xf numFmtId="176" fontId="8" fillId="4" borderId="25" xfId="0" applyNumberFormat="1" applyFont="1" applyFill="1" applyBorder="1" applyAlignment="1">
      <alignment horizontal="center" vertical="center"/>
    </xf>
    <xf numFmtId="176" fontId="8" fillId="4" borderId="27" xfId="0" applyNumberFormat="1" applyFont="1" applyFill="1" applyBorder="1" applyAlignment="1">
      <alignment horizontal="center" vertical="center"/>
    </xf>
    <xf numFmtId="176" fontId="12" fillId="4" borderId="20" xfId="0" applyNumberFormat="1" applyFont="1" applyFill="1" applyBorder="1" applyAlignment="1">
      <alignment horizontal="center" vertical="center"/>
    </xf>
    <xf numFmtId="176" fontId="16" fillId="4" borderId="22" xfId="0" applyNumberFormat="1" applyFont="1" applyFill="1" applyBorder="1" applyAlignment="1">
      <alignment horizontal="center" vertical="center"/>
    </xf>
    <xf numFmtId="176" fontId="16" fillId="4" borderId="25" xfId="0" applyNumberFormat="1" applyFont="1" applyFill="1" applyBorder="1" applyAlignment="1">
      <alignment horizontal="center" vertical="center"/>
    </xf>
    <xf numFmtId="176" fontId="16" fillId="4" borderId="27" xfId="0" applyNumberFormat="1" applyFont="1" applyFill="1" applyBorder="1" applyAlignment="1">
      <alignment horizontal="center" vertical="center"/>
    </xf>
    <xf numFmtId="176" fontId="0" fillId="6" borderId="13" xfId="0" applyNumberFormat="1" applyFill="1" applyBorder="1" applyAlignment="1">
      <alignment horizontal="center" vertical="center"/>
    </xf>
    <xf numFmtId="176" fontId="0" fillId="6" borderId="14" xfId="0" applyNumberFormat="1" applyFill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8A1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51</xdr:row>
      <xdr:rowOff>0</xdr:rowOff>
    </xdr:from>
    <xdr:to>
      <xdr:col>14</xdr:col>
      <xdr:colOff>304800</xdr:colOff>
      <xdr:row>52</xdr:row>
      <xdr:rowOff>90178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50B5CA9-681C-4DBE-83A8-AF5CC5DAE989}"/>
            </a:ext>
          </a:extLst>
        </xdr:cNvPr>
        <xdr:cNvSpPr>
          <a:spLocks noChangeAspect="1" noChangeArrowheads="1"/>
        </xdr:cNvSpPr>
      </xdr:nvSpPr>
      <xdr:spPr bwMode="auto">
        <a:xfrm>
          <a:off x="1028700" y="9848850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334735</xdr:colOff>
      <xdr:row>51</xdr:row>
      <xdr:rowOff>0</xdr:rowOff>
    </xdr:from>
    <xdr:to>
      <xdr:col>15</xdr:col>
      <xdr:colOff>305541</xdr:colOff>
      <xdr:row>52</xdr:row>
      <xdr:rowOff>90178</xdr:rowOff>
    </xdr:to>
    <xdr:sp macro="" textlink="">
      <xdr:nvSpPr>
        <xdr:cNvPr id="3" name="AutoShape 2" descr="슈퍼 헤이스트 부스트 팩">
          <a:extLst>
            <a:ext uri="{FF2B5EF4-FFF2-40B4-BE49-F238E27FC236}">
              <a16:creationId xmlns:a16="http://schemas.microsoft.com/office/drawing/2014/main" id="{B2C139B7-FFBE-4DB4-B427-631B8DA71924}"/>
            </a:ext>
          </a:extLst>
        </xdr:cNvPr>
        <xdr:cNvSpPr>
          <a:spLocks noChangeAspect="1" noChangeArrowheads="1"/>
        </xdr:cNvSpPr>
      </xdr:nvSpPr>
      <xdr:spPr bwMode="auto">
        <a:xfrm>
          <a:off x="1363435" y="9848850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90178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905141B0-88EB-4235-BC71-7C70DAB8515D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058400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99705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34693F5D-0715-4342-983D-00DA6410E054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267950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304800</xdr:colOff>
      <xdr:row>47</xdr:row>
      <xdr:rowOff>97846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6D29EC37-977E-4D79-88C1-ACE040E55496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477500"/>
          <a:ext cx="304800" cy="307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46</xdr:row>
      <xdr:rowOff>0</xdr:rowOff>
    </xdr:from>
    <xdr:to>
      <xdr:col>2</xdr:col>
      <xdr:colOff>619125</xdr:colOff>
      <xdr:row>47</xdr:row>
      <xdr:rowOff>97846</xdr:rowOff>
    </xdr:to>
    <xdr:sp macro="" textlink="">
      <xdr:nvSpPr>
        <xdr:cNvPr id="7" name="AutoShape 8" descr="VIP 부스터">
          <a:extLst>
            <a:ext uri="{FF2B5EF4-FFF2-40B4-BE49-F238E27FC236}">
              <a16:creationId xmlns:a16="http://schemas.microsoft.com/office/drawing/2014/main" id="{C3C7C0AC-478D-4D53-970A-30CCCFEBBF63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0477500"/>
          <a:ext cx="304800" cy="307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90178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8EB29973-2B71-4403-8227-483C8865C911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6965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20411</xdr:colOff>
      <xdr:row>50</xdr:row>
      <xdr:rowOff>34018</xdr:rowOff>
    </xdr:from>
    <xdr:to>
      <xdr:col>2</xdr:col>
      <xdr:colOff>325211</xdr:colOff>
      <xdr:row>51</xdr:row>
      <xdr:rowOff>128526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726B1AD0-28F2-4240-B075-2A0D98ACF5E3}"/>
            </a:ext>
          </a:extLst>
        </xdr:cNvPr>
        <xdr:cNvSpPr>
          <a:spLocks noChangeAspect="1" noChangeArrowheads="1"/>
        </xdr:cNvSpPr>
      </xdr:nvSpPr>
      <xdr:spPr bwMode="auto">
        <a:xfrm>
          <a:off x="1049111" y="11359243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90178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8892D4EC-5590-4892-84F3-1269DDEDB5A6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5347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53</xdr:row>
      <xdr:rowOff>90179</xdr:rowOff>
    </xdr:to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4F6DC88C-D3BF-4C6F-8B9C-E0407FBFCB72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74432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52</xdr:row>
      <xdr:rowOff>0</xdr:rowOff>
    </xdr:from>
    <xdr:to>
      <xdr:col>2</xdr:col>
      <xdr:colOff>619125</xdr:colOff>
      <xdr:row>53</xdr:row>
      <xdr:rowOff>90179</xdr:rowOff>
    </xdr:to>
    <xdr:sp macro="" textlink="">
      <xdr:nvSpPr>
        <xdr:cNvPr id="12" name="AutoShape 18" descr="익스프레스 부스터">
          <a:extLst>
            <a:ext uri="{FF2B5EF4-FFF2-40B4-BE49-F238E27FC236}">
              <a16:creationId xmlns:a16="http://schemas.microsoft.com/office/drawing/2014/main" id="{8644AF68-B35B-4186-BCAF-0B469DACB39E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174432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54</xdr:row>
      <xdr:rowOff>90177</xdr:rowOff>
    </xdr:to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365B2BDB-FDE3-4860-9437-764FA3FC01C5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9538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53</xdr:row>
      <xdr:rowOff>0</xdr:rowOff>
    </xdr:from>
    <xdr:to>
      <xdr:col>2</xdr:col>
      <xdr:colOff>619125</xdr:colOff>
      <xdr:row>54</xdr:row>
      <xdr:rowOff>90177</xdr:rowOff>
    </xdr:to>
    <xdr:sp macro="" textlink="">
      <xdr:nvSpPr>
        <xdr:cNvPr id="14" name="AutoShape 20" descr="헤이스트 피버 타임 부스터">
          <a:extLst>
            <a:ext uri="{FF2B5EF4-FFF2-40B4-BE49-F238E27FC236}">
              <a16:creationId xmlns:a16="http://schemas.microsoft.com/office/drawing/2014/main" id="{3DADD036-9684-4594-BFE9-B003D71BFD77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19538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55</xdr:row>
      <xdr:rowOff>90179</xdr:rowOff>
    </xdr:to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6C15EFB0-23D4-43F5-98AF-9CB39635BC54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2163425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54</xdr:row>
      <xdr:rowOff>0</xdr:rowOff>
    </xdr:from>
    <xdr:to>
      <xdr:col>2</xdr:col>
      <xdr:colOff>619125</xdr:colOff>
      <xdr:row>55</xdr:row>
      <xdr:rowOff>90179</xdr:rowOff>
    </xdr:to>
    <xdr:sp macro="" textlink="">
      <xdr:nvSpPr>
        <xdr:cNvPr id="16" name="AutoShape 22" descr="악몽의 메아리">
          <a:extLst>
            <a:ext uri="{FF2B5EF4-FFF2-40B4-BE49-F238E27FC236}">
              <a16:creationId xmlns:a16="http://schemas.microsoft.com/office/drawing/2014/main" id="{A2207E52-2AA2-4B67-B3E2-1BC602A8BA33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2163425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sers/rlehd/Downloads/w2237826492%20(2).xlsx" TargetMode="External"/><Relationship Id="rId2" Type="http://schemas.openxmlformats.org/officeDocument/2006/relationships/externalLinkPath" Target="file:///C:\Users\rlehd\Downloads\w2237826492%20(2).xlsx" TargetMode="External"/><Relationship Id="rId1" Type="http://schemas.openxmlformats.org/officeDocument/2006/relationships/externalLinkPath" Target="/Users/rlehd/Downloads/w223782649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경험치 효율표"/>
      <sheetName val="경험치 정보"/>
      <sheetName val="BM 경험치"/>
      <sheetName val="에픽 던전"/>
    </sheetNames>
    <sheetDataSet>
      <sheetData sheetId="0"/>
      <sheetData sheetId="1">
        <row r="3">
          <cell r="I3">
            <v>1725461</v>
          </cell>
        </row>
        <row r="4">
          <cell r="I4">
            <v>1750290</v>
          </cell>
        </row>
        <row r="5">
          <cell r="I5">
            <v>1775159</v>
          </cell>
        </row>
        <row r="6">
          <cell r="I6">
            <v>1800203</v>
          </cell>
        </row>
        <row r="7">
          <cell r="I7">
            <v>1828409</v>
          </cell>
        </row>
        <row r="8">
          <cell r="I8">
            <v>2056974</v>
          </cell>
        </row>
        <row r="9">
          <cell r="I9">
            <v>2085219</v>
          </cell>
        </row>
        <row r="10">
          <cell r="I10">
            <v>2113572</v>
          </cell>
        </row>
        <row r="11">
          <cell r="I11">
            <v>2145596</v>
          </cell>
        </row>
        <row r="12">
          <cell r="I12">
            <v>2174274</v>
          </cell>
        </row>
        <row r="13">
          <cell r="I13">
            <v>2445217</v>
          </cell>
        </row>
        <row r="14">
          <cell r="I14">
            <v>2481337</v>
          </cell>
        </row>
        <row r="15">
          <cell r="I15">
            <v>2513634</v>
          </cell>
        </row>
        <row r="16">
          <cell r="I16">
            <v>2546149</v>
          </cell>
        </row>
        <row r="17">
          <cell r="I17">
            <v>2582906</v>
          </cell>
        </row>
        <row r="18">
          <cell r="I18">
            <v>2903024</v>
          </cell>
        </row>
        <row r="19">
          <cell r="I19">
            <v>2939616</v>
          </cell>
        </row>
        <row r="20">
          <cell r="I20">
            <v>2981010</v>
          </cell>
        </row>
        <row r="21">
          <cell r="I21">
            <v>3017988</v>
          </cell>
        </row>
        <row r="22">
          <cell r="I22">
            <v>3059716</v>
          </cell>
        </row>
        <row r="23">
          <cell r="C23">
            <v>33647601750165</v>
          </cell>
          <cell r="I23">
            <v>3436027</v>
          </cell>
        </row>
        <row r="24">
          <cell r="C24">
            <v>37012361925181</v>
          </cell>
          <cell r="I24">
            <v>3482914</v>
          </cell>
        </row>
        <row r="25">
          <cell r="C25">
            <v>40713598117699</v>
          </cell>
          <cell r="I25">
            <v>3524768</v>
          </cell>
        </row>
        <row r="26">
          <cell r="C26">
            <v>44784957929468</v>
          </cell>
          <cell r="I26">
            <v>3572010</v>
          </cell>
        </row>
        <row r="27">
          <cell r="C27">
            <v>49263453722414</v>
          </cell>
          <cell r="I27">
            <v>3614278</v>
          </cell>
        </row>
        <row r="28">
          <cell r="C28">
            <v>99512176519276</v>
          </cell>
          <cell r="I28">
            <v>4062965</v>
          </cell>
        </row>
        <row r="29">
          <cell r="C29">
            <v>109463394171203</v>
          </cell>
          <cell r="I29">
            <v>4110304</v>
          </cell>
        </row>
        <row r="30">
          <cell r="C30">
            <v>120409733588323</v>
          </cell>
          <cell r="I30">
            <v>4163751</v>
          </cell>
        </row>
        <row r="31">
          <cell r="C31">
            <v>132450706947155</v>
          </cell>
          <cell r="I31">
            <v>4217526</v>
          </cell>
        </row>
        <row r="32">
          <cell r="C32">
            <v>145695777641870</v>
          </cell>
          <cell r="I32">
            <v>4265489</v>
          </cell>
        </row>
        <row r="33">
          <cell r="C33">
            <v>294305470836577</v>
          </cell>
          <cell r="I33">
            <v>4793318</v>
          </cell>
        </row>
        <row r="34">
          <cell r="C34">
            <v>323736017920234</v>
          </cell>
          <cell r="I34">
            <v>4847012</v>
          </cell>
        </row>
        <row r="35">
          <cell r="C35">
            <v>356109619712257</v>
          </cell>
          <cell r="I35">
            <v>4907812</v>
          </cell>
        </row>
        <row r="36">
          <cell r="C36">
            <v>391720581683482</v>
          </cell>
          <cell r="I36">
            <v>4968977</v>
          </cell>
        </row>
        <row r="37">
          <cell r="C37">
            <v>430892639851830</v>
          </cell>
          <cell r="I37">
            <v>5023491</v>
          </cell>
        </row>
        <row r="38">
          <cell r="C38">
            <v>870403132500696</v>
          </cell>
        </row>
        <row r="39">
          <cell r="C39">
            <v>957443445750765</v>
          </cell>
        </row>
        <row r="40">
          <cell r="C40">
            <v>1053187790325840</v>
          </cell>
        </row>
        <row r="41">
          <cell r="C41">
            <v>1158506569358420</v>
          </cell>
        </row>
        <row r="42">
          <cell r="C42">
            <v>1737759854037630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ABA65-D90E-427D-B0A6-629E26358751}">
  <dimension ref="A1:W39"/>
  <sheetViews>
    <sheetView showGridLines="0" tabSelected="1" topLeftCell="C1" zoomScaleNormal="100" workbookViewId="0">
      <selection activeCell="O32" sqref="O32"/>
    </sheetView>
  </sheetViews>
  <sheetFormatPr defaultColWidth="0" defaultRowHeight="16.5" zeroHeight="1"/>
  <cols>
    <col min="1" max="2" width="9" style="16" hidden="1" customWidth="1"/>
    <col min="3" max="3" width="9" style="16" customWidth="1"/>
    <col min="4" max="4" width="13.75" style="16" bestFit="1" customWidth="1"/>
    <col min="5" max="5" width="20.875" style="16" customWidth="1"/>
    <col min="6" max="6" width="2.375" style="16" customWidth="1"/>
    <col min="7" max="7" width="6.875" style="16" customWidth="1"/>
    <col min="8" max="8" width="11.875" style="16" customWidth="1"/>
    <col min="9" max="9" width="9" style="16" customWidth="1"/>
    <col min="10" max="10" width="2.625" style="16" customWidth="1"/>
    <col min="11" max="11" width="5.125" style="16" customWidth="1"/>
    <col min="12" max="12" width="13.75" style="16" customWidth="1"/>
    <col min="13" max="13" width="15.875" style="16" customWidth="1"/>
    <col min="14" max="14" width="2.5" style="16" customWidth="1"/>
    <col min="15" max="15" width="15.5" style="16" customWidth="1"/>
    <col min="16" max="16" width="5.375" style="16" customWidth="1"/>
    <col min="17" max="18" width="9" style="16" customWidth="1"/>
    <col min="19" max="19" width="4.25" style="16" customWidth="1"/>
    <col min="20" max="20" width="14.75" style="16" hidden="1" customWidth="1"/>
    <col min="21" max="21" width="5.75" style="16" hidden="1" customWidth="1"/>
    <col min="22" max="22" width="7.75" style="16" hidden="1" customWidth="1"/>
    <col min="23" max="16384" width="0" style="16" hidden="1"/>
  </cols>
  <sheetData>
    <row r="1" spans="3:23">
      <c r="C1" s="40"/>
      <c r="D1" s="40"/>
      <c r="E1" s="40"/>
      <c r="F1" s="40"/>
      <c r="G1" s="40"/>
      <c r="H1" s="40"/>
      <c r="I1" s="40"/>
      <c r="J1" s="37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3:23">
      <c r="C2" s="40"/>
      <c r="D2" s="84" t="s">
        <v>0</v>
      </c>
      <c r="E2" s="85"/>
      <c r="F2" s="40"/>
      <c r="G2" s="40"/>
      <c r="H2" s="55" t="s">
        <v>1</v>
      </c>
      <c r="I2" s="56"/>
      <c r="J2" s="37"/>
      <c r="K2" s="40"/>
      <c r="L2" s="88" t="s">
        <v>2</v>
      </c>
      <c r="M2" s="89"/>
      <c r="N2" s="40"/>
      <c r="O2" s="40"/>
      <c r="P2" s="40"/>
      <c r="Q2" s="58" t="s">
        <v>3</v>
      </c>
      <c r="R2" s="59"/>
      <c r="S2" s="40"/>
      <c r="T2" s="40"/>
      <c r="U2" s="40"/>
      <c r="V2" s="40"/>
      <c r="W2" s="40"/>
    </row>
    <row r="3" spans="3:23">
      <c r="C3" s="40"/>
      <c r="D3" s="86"/>
      <c r="E3" s="87"/>
      <c r="F3" s="40"/>
      <c r="G3" s="40"/>
      <c r="H3" s="40"/>
      <c r="I3" s="40"/>
      <c r="J3" s="37"/>
      <c r="K3" s="40"/>
      <c r="L3" s="90"/>
      <c r="M3" s="91"/>
      <c r="N3" s="40"/>
      <c r="O3" s="40"/>
      <c r="P3" s="40"/>
      <c r="Q3" s="38">
        <v>200</v>
      </c>
      <c r="R3" s="47">
        <v>209</v>
      </c>
      <c r="S3" s="40"/>
      <c r="T3" s="40"/>
      <c r="U3" s="40"/>
      <c r="V3" s="40"/>
      <c r="W3" s="40"/>
    </row>
    <row r="4" spans="3:23">
      <c r="C4" s="40"/>
      <c r="D4" s="43" t="s">
        <v>4</v>
      </c>
      <c r="E4" s="44">
        <v>290</v>
      </c>
      <c r="F4" s="40"/>
      <c r="G4" s="40"/>
      <c r="H4" s="40"/>
      <c r="I4" s="40"/>
      <c r="J4" s="37"/>
      <c r="K4" s="40"/>
      <c r="L4" s="43" t="s">
        <v>4</v>
      </c>
      <c r="M4" s="44">
        <v>200</v>
      </c>
      <c r="N4" s="40"/>
      <c r="O4" s="40"/>
      <c r="P4" s="40"/>
      <c r="Q4" s="47">
        <v>205</v>
      </c>
      <c r="R4" s="47">
        <v>213</v>
      </c>
      <c r="S4" s="40"/>
      <c r="T4" s="40"/>
      <c r="U4" s="40"/>
      <c r="V4" s="40"/>
      <c r="W4" s="40"/>
    </row>
    <row r="5" spans="3:23">
      <c r="C5" s="40"/>
      <c r="D5" s="34" t="s">
        <v>5</v>
      </c>
      <c r="E5" s="49">
        <v>294</v>
      </c>
      <c r="F5" s="40"/>
      <c r="G5" s="40"/>
      <c r="H5" s="40"/>
      <c r="I5" s="40"/>
      <c r="J5" s="37"/>
      <c r="K5" s="40"/>
      <c r="L5" s="34" t="s">
        <v>5</v>
      </c>
      <c r="M5" s="49">
        <v>209</v>
      </c>
      <c r="N5" s="40"/>
      <c r="O5" s="40"/>
      <c r="P5" s="40"/>
      <c r="Q5" s="47">
        <v>210</v>
      </c>
      <c r="R5" s="47">
        <v>219</v>
      </c>
      <c r="S5" s="40"/>
      <c r="T5" s="40"/>
      <c r="U5" s="40"/>
      <c r="V5" s="40"/>
      <c r="W5" s="40"/>
    </row>
    <row r="6" spans="3:23">
      <c r="C6" s="40"/>
      <c r="D6" s="40"/>
      <c r="E6" s="40"/>
      <c r="F6" s="40"/>
      <c r="G6" s="40"/>
      <c r="H6" s="40"/>
      <c r="I6" s="40"/>
      <c r="J6" s="37"/>
      <c r="K6" s="40"/>
      <c r="L6" s="40"/>
      <c r="M6" s="40"/>
      <c r="N6" s="40"/>
      <c r="O6" s="40"/>
      <c r="P6" s="40"/>
      <c r="Q6" s="47">
        <v>215</v>
      </c>
      <c r="R6" s="47">
        <v>220</v>
      </c>
      <c r="S6" s="40"/>
      <c r="T6" s="40"/>
      <c r="U6" s="40"/>
      <c r="V6" s="40"/>
      <c r="W6" s="40"/>
    </row>
    <row r="7" spans="3:23">
      <c r="C7" s="40"/>
      <c r="D7" s="48" t="s">
        <v>6</v>
      </c>
      <c r="E7" s="71" t="s">
        <v>7</v>
      </c>
      <c r="F7" s="72"/>
      <c r="G7" s="40"/>
      <c r="H7" s="40"/>
      <c r="I7" s="40"/>
      <c r="J7" s="37"/>
      <c r="K7" s="40"/>
      <c r="L7" s="48" t="s">
        <v>6</v>
      </c>
      <c r="M7" s="69" t="s">
        <v>7</v>
      </c>
      <c r="N7" s="69"/>
      <c r="O7" s="40"/>
      <c r="P7" s="40"/>
      <c r="Q7" s="47">
        <v>220</v>
      </c>
      <c r="R7" s="47">
        <v>227</v>
      </c>
      <c r="S7" s="40"/>
      <c r="T7" s="40"/>
      <c r="U7" s="40"/>
      <c r="V7" s="40"/>
      <c r="W7" s="40"/>
    </row>
    <row r="8" spans="3:23">
      <c r="C8" s="40"/>
      <c r="D8" s="35" t="s">
        <v>8</v>
      </c>
      <c r="E8" s="73">
        <v>44444444</v>
      </c>
      <c r="F8" s="74"/>
      <c r="G8" s="40"/>
      <c r="H8" s="40"/>
      <c r="I8" s="40"/>
      <c r="J8" s="37"/>
      <c r="K8" s="40"/>
      <c r="L8" s="35" t="s">
        <v>8</v>
      </c>
      <c r="M8" s="70">
        <v>42222222</v>
      </c>
      <c r="N8" s="70"/>
      <c r="O8" s="40"/>
      <c r="P8" s="40"/>
      <c r="Q8" s="47">
        <v>225</v>
      </c>
      <c r="R8" s="47">
        <v>240</v>
      </c>
      <c r="S8" s="40"/>
      <c r="T8" s="40"/>
      <c r="U8" s="40"/>
      <c r="V8" s="40"/>
      <c r="W8" s="40"/>
    </row>
    <row r="9" spans="3:23">
      <c r="C9" s="40"/>
      <c r="D9" s="35" t="s">
        <v>9</v>
      </c>
      <c r="E9" s="78">
        <v>500000000</v>
      </c>
      <c r="F9" s="79"/>
      <c r="G9" s="40"/>
      <c r="H9" s="40"/>
      <c r="I9" s="40"/>
      <c r="J9" s="37"/>
      <c r="K9" s="40"/>
      <c r="L9" s="40"/>
      <c r="M9" s="40"/>
      <c r="N9" s="40"/>
      <c r="O9" s="40"/>
      <c r="P9" s="40"/>
      <c r="Q9" s="47">
        <v>230</v>
      </c>
      <c r="R9" s="47">
        <v>244</v>
      </c>
      <c r="S9" s="40"/>
      <c r="T9" s="40"/>
      <c r="U9" s="40"/>
      <c r="V9" s="40"/>
      <c r="W9" s="40"/>
    </row>
    <row r="10" spans="3:23">
      <c r="C10" s="40"/>
      <c r="D10" s="35" t="s">
        <v>10</v>
      </c>
      <c r="E10" s="78">
        <f>IFERROR(G13/G14*E8,"260 미만은 오른쪽")</f>
        <v>34086591.750865877</v>
      </c>
      <c r="F10" s="79"/>
      <c r="G10" s="40"/>
      <c r="H10" s="40"/>
      <c r="I10" s="40"/>
      <c r="J10" s="37"/>
      <c r="K10" s="40"/>
      <c r="L10" s="48" t="s">
        <v>6</v>
      </c>
      <c r="M10" s="48" t="s">
        <v>11</v>
      </c>
      <c r="N10" s="40"/>
      <c r="O10" s="48" t="s">
        <v>12</v>
      </c>
      <c r="P10" s="40"/>
      <c r="Q10" s="47">
        <v>235</v>
      </c>
      <c r="R10" s="47">
        <v>249</v>
      </c>
      <c r="S10" s="40"/>
      <c r="T10" s="40"/>
      <c r="U10" s="40"/>
      <c r="V10" s="40"/>
      <c r="W10" s="40"/>
    </row>
    <row r="11" spans="3:23">
      <c r="C11" s="40"/>
      <c r="D11" s="40"/>
      <c r="E11" s="40"/>
      <c r="F11" s="40"/>
      <c r="G11" s="40"/>
      <c r="H11" s="40"/>
      <c r="I11" s="40"/>
      <c r="J11" s="37"/>
      <c r="K11" s="40"/>
      <c r="L11" s="35" t="s">
        <v>8</v>
      </c>
      <c r="M11" s="36">
        <f>IFERROR((N29*470*190)/N28,"260 이상은 왼쪽")</f>
        <v>8.383781595514801</v>
      </c>
      <c r="N11" s="40"/>
      <c r="O11" s="39">
        <f>IFERROR(M11/(M8/100000000),"260 이상은 왼쪽")</f>
        <v>19.856324935989399</v>
      </c>
      <c r="P11" s="40"/>
      <c r="Q11" s="47">
        <v>240</v>
      </c>
      <c r="R11" s="47">
        <v>251</v>
      </c>
      <c r="S11" s="40"/>
      <c r="T11" s="40"/>
      <c r="U11" s="40"/>
      <c r="V11" s="40"/>
      <c r="W11" s="40"/>
    </row>
    <row r="12" spans="3:23">
      <c r="C12" s="40"/>
      <c r="D12" s="48" t="s">
        <v>6</v>
      </c>
      <c r="E12" s="48" t="s">
        <v>11</v>
      </c>
      <c r="F12" s="40"/>
      <c r="G12" s="80" t="s">
        <v>12</v>
      </c>
      <c r="H12" s="81"/>
      <c r="I12" s="40"/>
      <c r="J12" s="37"/>
      <c r="K12" s="40"/>
      <c r="L12" s="40"/>
      <c r="M12" s="40"/>
      <c r="N12" s="40"/>
      <c r="O12" s="40"/>
      <c r="P12" s="40"/>
      <c r="Q12" s="47">
        <v>245</v>
      </c>
      <c r="R12" s="47">
        <v>254</v>
      </c>
      <c r="S12" s="40"/>
      <c r="T12" s="40"/>
      <c r="U12" s="40"/>
      <c r="V12" s="40"/>
      <c r="W12" s="40"/>
    </row>
    <row r="13" spans="3:23">
      <c r="C13" s="40"/>
      <c r="D13" s="35" t="s">
        <v>8</v>
      </c>
      <c r="E13" s="36">
        <f>IFERROR((F28*470*190)/F27,"260 미만은 오른쪽")</f>
        <v>1.5242589443710986E-3</v>
      </c>
      <c r="F13" s="40"/>
      <c r="G13" s="82">
        <f>IFERROR(E13/(E8/100000000),"260 미만은 오른쪽")</f>
        <v>3.4295826591307986E-3</v>
      </c>
      <c r="H13" s="83"/>
      <c r="I13" s="40"/>
      <c r="J13" s="37"/>
      <c r="K13" s="40"/>
      <c r="L13" s="40"/>
      <c r="M13" s="40"/>
      <c r="N13" s="40"/>
      <c r="O13" s="40"/>
      <c r="P13" s="40"/>
      <c r="Q13" s="47">
        <v>250</v>
      </c>
      <c r="R13" s="47">
        <v>259</v>
      </c>
      <c r="S13" s="40"/>
      <c r="T13" s="40"/>
      <c r="U13" s="40"/>
      <c r="V13" s="40"/>
      <c r="W13" s="40"/>
    </row>
    <row r="14" spans="3:23">
      <c r="C14" s="40"/>
      <c r="D14" s="35" t="s">
        <v>9</v>
      </c>
      <c r="E14" s="36">
        <f>IFERROR(VLOOKUP(E4,'경험치 BM'!K3:M22,3,0),"메카 베리 사용 불가")</f>
        <v>2.2358629391751653E-2</v>
      </c>
      <c r="F14" s="40"/>
      <c r="G14" s="82">
        <f>IFERROR(E14/(E9/100000000),"메카 베리 사용 불가")</f>
        <v>4.471725878350331E-3</v>
      </c>
      <c r="H14" s="83"/>
      <c r="I14" s="40"/>
      <c r="J14" s="37"/>
      <c r="K14" s="40"/>
      <c r="L14" s="40"/>
      <c r="M14" s="40"/>
      <c r="N14" s="40"/>
      <c r="O14" s="40"/>
      <c r="P14" s="40"/>
      <c r="Q14" s="47">
        <v>255</v>
      </c>
      <c r="R14" s="47">
        <v>264</v>
      </c>
      <c r="S14" s="40"/>
      <c r="T14" s="40"/>
      <c r="U14" s="40"/>
      <c r="V14" s="40"/>
      <c r="W14" s="40"/>
    </row>
    <row r="15" spans="3:23">
      <c r="C15" s="40"/>
      <c r="D15" s="40"/>
      <c r="E15" s="40"/>
      <c r="F15" s="40"/>
      <c r="G15" s="40"/>
      <c r="H15" s="40"/>
      <c r="I15" s="40"/>
      <c r="J15" s="37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3:23">
      <c r="C16" s="40"/>
      <c r="D16" s="40"/>
      <c r="E16" s="40"/>
      <c r="F16" s="40"/>
      <c r="G16" s="40"/>
      <c r="H16" s="40"/>
      <c r="I16" s="40"/>
      <c r="J16" s="37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4:23">
      <c r="D17" s="40"/>
      <c r="E17" s="60" t="s">
        <v>13</v>
      </c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40"/>
      <c r="Q17" s="40"/>
      <c r="R17" s="40"/>
      <c r="S17" s="40"/>
      <c r="T17" s="40"/>
      <c r="U17" s="40"/>
      <c r="V17" s="40"/>
      <c r="W17" s="40"/>
    </row>
    <row r="18" spans="4:23">
      <c r="D18" s="40"/>
      <c r="E18" s="63"/>
      <c r="F18" s="64"/>
      <c r="G18" s="64"/>
      <c r="H18" s="64"/>
      <c r="I18" s="64"/>
      <c r="J18" s="64"/>
      <c r="K18" s="64"/>
      <c r="L18" s="64"/>
      <c r="M18" s="64"/>
      <c r="N18" s="64"/>
      <c r="O18" s="65"/>
      <c r="P18" s="40"/>
      <c r="Q18" s="40"/>
      <c r="R18" s="40"/>
      <c r="S18" s="40"/>
      <c r="T18" s="40"/>
      <c r="U18" s="40"/>
      <c r="V18" s="40"/>
      <c r="W18" s="40"/>
    </row>
    <row r="19" spans="4:23">
      <c r="D19" s="40"/>
      <c r="E19" s="63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40"/>
      <c r="Q19" s="40"/>
      <c r="R19" s="40"/>
      <c r="S19" s="40"/>
      <c r="T19" s="40"/>
      <c r="U19" s="40"/>
      <c r="V19" s="40"/>
      <c r="W19" s="40"/>
    </row>
    <row r="20" spans="4:23">
      <c r="D20" s="40"/>
      <c r="E20" s="66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40"/>
      <c r="Q20" s="40"/>
      <c r="R20" s="40"/>
      <c r="S20" s="40"/>
      <c r="T20" s="92" t="s">
        <v>14</v>
      </c>
      <c r="U20" s="93"/>
      <c r="V20" s="40"/>
      <c r="W20" s="40"/>
    </row>
    <row r="21" spans="4:23">
      <c r="D21" s="40"/>
      <c r="E21" s="40"/>
      <c r="F21" s="40"/>
      <c r="G21" s="40"/>
      <c r="H21" s="40"/>
      <c r="I21" s="40"/>
      <c r="J21" s="37"/>
      <c r="K21" s="40"/>
      <c r="L21" s="40"/>
      <c r="M21" s="40"/>
      <c r="N21" s="40"/>
      <c r="O21" s="40"/>
      <c r="P21" s="40"/>
      <c r="Q21" s="40"/>
      <c r="R21" s="40"/>
      <c r="S21" s="40"/>
      <c r="T21" s="94" t="s">
        <v>15</v>
      </c>
      <c r="U21" s="95"/>
      <c r="V21" s="40"/>
      <c r="W21" s="40"/>
    </row>
    <row r="22" spans="4:23" hidden="1">
      <c r="D22" s="40"/>
      <c r="E22" s="40"/>
      <c r="F22" s="40"/>
      <c r="G22" s="40"/>
      <c r="H22" s="40"/>
      <c r="I22" s="40"/>
      <c r="J22" s="37"/>
      <c r="K22" s="40"/>
      <c r="L22" s="40"/>
      <c r="M22" s="40"/>
      <c r="N22" s="40"/>
      <c r="O22" s="40"/>
      <c r="P22" s="40"/>
      <c r="Q22" s="40"/>
      <c r="R22" s="40"/>
      <c r="S22" s="40"/>
      <c r="T22" s="94" t="s">
        <v>16</v>
      </c>
      <c r="U22" s="95"/>
      <c r="V22" s="40"/>
      <c r="W22" s="40"/>
    </row>
    <row r="23" spans="4:23" hidden="1">
      <c r="D23" s="40"/>
      <c r="E23" s="40"/>
      <c r="F23" s="40"/>
      <c r="G23" s="40"/>
      <c r="H23" s="40"/>
      <c r="I23" s="40"/>
      <c r="J23" s="37"/>
      <c r="K23" s="40"/>
      <c r="L23" s="40"/>
      <c r="M23" s="40"/>
      <c r="N23" s="40"/>
      <c r="O23" s="40"/>
      <c r="P23" s="40"/>
      <c r="Q23" s="40"/>
      <c r="R23" s="40"/>
      <c r="S23" s="40"/>
      <c r="T23" s="96" t="s">
        <v>16</v>
      </c>
      <c r="U23" s="97"/>
      <c r="V23" s="40"/>
      <c r="W23" s="40"/>
    </row>
    <row r="24" spans="4:23" hidden="1">
      <c r="D24" s="40"/>
      <c r="E24" s="40"/>
      <c r="F24" s="40"/>
      <c r="G24" s="40"/>
      <c r="H24" s="40"/>
      <c r="I24" s="40"/>
      <c r="J24" s="37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4:23" hidden="1">
      <c r="D25" s="40"/>
      <c r="E25" s="40"/>
      <c r="F25" s="40"/>
      <c r="G25" s="40"/>
      <c r="H25" s="40"/>
      <c r="I25" s="40"/>
      <c r="J25" s="37"/>
      <c r="K25" s="40"/>
      <c r="L25" s="45" t="s">
        <v>8</v>
      </c>
      <c r="M25" s="45">
        <f>N29*470*190</f>
        <v>18503227900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4:23" hidden="1">
      <c r="D26" s="40"/>
      <c r="E26" s="40"/>
      <c r="F26" s="40"/>
      <c r="G26" s="40"/>
      <c r="H26" s="40"/>
      <c r="I26" s="40"/>
      <c r="J26" s="37"/>
      <c r="K26" s="40"/>
      <c r="L26" s="40"/>
      <c r="M26" s="40"/>
      <c r="N26" s="40"/>
      <c r="O26" s="40"/>
      <c r="P26" s="40"/>
      <c r="Q26" s="40"/>
      <c r="R26" s="40"/>
      <c r="S26" s="40"/>
      <c r="T26" s="46" t="s">
        <v>17</v>
      </c>
      <c r="U26" s="58">
        <v>651480000</v>
      </c>
      <c r="V26" s="98"/>
      <c r="W26" s="59"/>
    </row>
    <row r="27" spans="4:23" hidden="1">
      <c r="D27" s="57" t="s">
        <v>18</v>
      </c>
      <c r="E27" s="57"/>
      <c r="F27" s="75">
        <f>VLOOKUP(E4,'200이상'!O3:P42,2,0)</f>
        <v>294305470836577</v>
      </c>
      <c r="G27" s="76"/>
      <c r="H27" s="77"/>
      <c r="I27" s="40"/>
      <c r="J27" s="37"/>
      <c r="K27" s="40"/>
      <c r="L27" s="40"/>
      <c r="M27" s="40"/>
      <c r="N27" s="40"/>
      <c r="O27" s="40"/>
      <c r="P27" s="40"/>
      <c r="Q27" s="40"/>
      <c r="R27" s="40"/>
      <c r="S27" s="40"/>
      <c r="T27" s="46">
        <v>10</v>
      </c>
      <c r="U27" s="40"/>
      <c r="V27" s="40"/>
      <c r="W27" s="40"/>
    </row>
    <row r="28" spans="4:23" hidden="1">
      <c r="D28" s="57" t="s">
        <v>19</v>
      </c>
      <c r="E28" s="57"/>
      <c r="F28" s="75">
        <f>VLOOKUP(E5,'200이상'!T3:U42,2,0)</f>
        <v>5023491</v>
      </c>
      <c r="G28" s="76"/>
      <c r="H28" s="77"/>
      <c r="I28" s="40"/>
      <c r="J28" s="37"/>
      <c r="K28" s="40"/>
      <c r="L28" s="57" t="s">
        <v>18</v>
      </c>
      <c r="M28" s="57"/>
      <c r="N28" s="45">
        <f>VLOOKUP(M4,'200이상'!B3:C62,2,0)</f>
        <v>2207026470</v>
      </c>
      <c r="O28" s="45"/>
      <c r="P28" s="40"/>
      <c r="Q28" s="40"/>
      <c r="R28" s="40"/>
      <c r="S28" s="40"/>
      <c r="T28" s="46">
        <v>730</v>
      </c>
      <c r="U28" s="99">
        <f>T28*1.3</f>
        <v>949</v>
      </c>
      <c r="V28" s="99"/>
      <c r="W28" s="40"/>
    </row>
    <row r="29" spans="4:23" hidden="1">
      <c r="D29" s="40"/>
      <c r="E29" s="40"/>
      <c r="F29" s="40"/>
      <c r="G29" s="40"/>
      <c r="H29" s="40"/>
      <c r="I29" s="40"/>
      <c r="J29" s="37"/>
      <c r="K29" s="40"/>
      <c r="L29" s="57" t="s">
        <v>19</v>
      </c>
      <c r="M29" s="57"/>
      <c r="N29" s="45">
        <f>VLOOKUP(M5,'200이상'!G3:H67,2,0)</f>
        <v>207203</v>
      </c>
      <c r="O29" s="45"/>
      <c r="P29" s="40"/>
      <c r="Q29" s="40"/>
      <c r="R29" s="40"/>
      <c r="S29" s="40"/>
      <c r="T29" s="40"/>
      <c r="U29" s="40"/>
      <c r="V29" s="40"/>
      <c r="W29" s="40"/>
    </row>
    <row r="30" spans="4:23" hidden="1">
      <c r="D30" s="40"/>
      <c r="E30" s="40"/>
      <c r="F30" s="40"/>
      <c r="G30" s="40"/>
      <c r="H30" s="40"/>
      <c r="I30" s="40"/>
      <c r="J30" s="37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4:23" hidden="1">
      <c r="D31" s="40"/>
      <c r="E31" s="40"/>
      <c r="F31" s="40"/>
      <c r="G31" s="40"/>
      <c r="H31" s="40"/>
      <c r="I31" s="40"/>
      <c r="J31" s="37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4:23" hidden="1">
      <c r="D32" s="40"/>
      <c r="E32" s="40"/>
      <c r="F32" s="40"/>
      <c r="G32" s="40"/>
      <c r="H32" s="40"/>
      <c r="I32" s="40"/>
      <c r="J32" s="37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0:18" hidden="1">
      <c r="J33" s="37"/>
      <c r="K33" s="40"/>
      <c r="L33" s="40"/>
      <c r="M33" s="40"/>
      <c r="N33" s="40"/>
      <c r="O33" s="40"/>
      <c r="P33" s="40"/>
      <c r="Q33" s="40"/>
      <c r="R33" s="40"/>
    </row>
    <row r="34" spans="10:18" hidden="1">
      <c r="J34" s="37"/>
      <c r="K34" s="40"/>
      <c r="L34" s="40"/>
      <c r="M34" s="40"/>
      <c r="N34" s="40"/>
      <c r="O34" s="40"/>
      <c r="P34" s="40"/>
      <c r="Q34" s="40"/>
      <c r="R34" s="40"/>
    </row>
    <row r="35" spans="10:18" hidden="1">
      <c r="J35" s="37"/>
      <c r="K35" s="40"/>
      <c r="L35" s="40"/>
      <c r="M35" s="40"/>
      <c r="N35" s="40"/>
      <c r="O35" s="40"/>
      <c r="P35" s="40"/>
      <c r="Q35" s="40"/>
      <c r="R35" s="40"/>
    </row>
    <row r="36" spans="10:18" hidden="1">
      <c r="J36" s="40"/>
      <c r="K36" s="40"/>
      <c r="L36" s="40"/>
      <c r="M36" s="40"/>
      <c r="N36" s="40"/>
      <c r="O36" s="40"/>
      <c r="P36" s="40"/>
      <c r="Q36" s="40"/>
      <c r="R36" s="40"/>
    </row>
    <row r="37" spans="10:18" hidden="1">
      <c r="J37" s="40"/>
      <c r="K37" s="40"/>
      <c r="L37" s="40"/>
      <c r="M37" s="40"/>
      <c r="N37" s="40"/>
      <c r="O37" s="40"/>
      <c r="P37" s="40"/>
      <c r="Q37" s="40"/>
      <c r="R37" s="40"/>
    </row>
    <row r="38" spans="10:18" hidden="1">
      <c r="J38" s="40"/>
      <c r="K38" s="40"/>
      <c r="L38" s="40"/>
      <c r="M38" s="40"/>
      <c r="N38" s="40"/>
      <c r="O38" s="40"/>
      <c r="P38" s="40"/>
      <c r="Q38" s="40"/>
      <c r="R38" s="40"/>
    </row>
    <row r="39" spans="10:18" hidden="1">
      <c r="J39" s="40"/>
      <c r="K39" s="40"/>
      <c r="L39" s="40"/>
      <c r="M39" s="40"/>
      <c r="N39" s="40"/>
      <c r="O39" s="40"/>
      <c r="P39" s="40"/>
      <c r="Q39" s="40"/>
      <c r="R39" s="40"/>
    </row>
  </sheetData>
  <sheetProtection sheet="1" objects="1" scenarios="1" selectLockedCells="1"/>
  <protectedRanges>
    <protectedRange sqref="A1 E4:E5 E8:F8 M4:M5 M8:N8" name="범위1"/>
    <protectedRange sqref="E4 E5 E8:F8 M4 M5 M8:N8" name="범위2"/>
  </protectedRanges>
  <mergeCells count="26">
    <mergeCell ref="F27:H27"/>
    <mergeCell ref="D27:E27"/>
    <mergeCell ref="E10:F10"/>
    <mergeCell ref="T20:U20"/>
    <mergeCell ref="L29:M29"/>
    <mergeCell ref="T21:U21"/>
    <mergeCell ref="T22:U22"/>
    <mergeCell ref="T23:U23"/>
    <mergeCell ref="U26:W26"/>
    <mergeCell ref="U28:V28"/>
    <mergeCell ref="H2:I2"/>
    <mergeCell ref="L28:M28"/>
    <mergeCell ref="Q2:R2"/>
    <mergeCell ref="E17:O20"/>
    <mergeCell ref="M7:N7"/>
    <mergeCell ref="M8:N8"/>
    <mergeCell ref="D28:E28"/>
    <mergeCell ref="E7:F7"/>
    <mergeCell ref="E8:F8"/>
    <mergeCell ref="F28:H28"/>
    <mergeCell ref="E9:F9"/>
    <mergeCell ref="G12:H12"/>
    <mergeCell ref="G13:H13"/>
    <mergeCell ref="D2:E3"/>
    <mergeCell ref="L2:M3"/>
    <mergeCell ref="G14:H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EF2B-60F3-466B-B551-4E952EEE2928}">
  <dimension ref="A1:Y68"/>
  <sheetViews>
    <sheetView showGridLines="0" topLeftCell="A7" zoomScaleNormal="100" workbookViewId="0">
      <selection activeCell="J26" sqref="J26"/>
    </sheetView>
  </sheetViews>
  <sheetFormatPr defaultRowHeight="16.5"/>
  <cols>
    <col min="1" max="1" width="9" style="9"/>
    <col min="2" max="2" width="4.5" style="9" bestFit="1" customWidth="1"/>
    <col min="3" max="3" width="15.875" style="9" bestFit="1" customWidth="1"/>
    <col min="4" max="4" width="9.5" style="9" bestFit="1" customWidth="1"/>
    <col min="5" max="5" width="17.5" style="9" bestFit="1" customWidth="1"/>
    <col min="6" max="6" width="2" style="9" customWidth="1"/>
    <col min="7" max="7" width="6" style="9" customWidth="1"/>
    <col min="8" max="9" width="8.875" style="9" bestFit="1" customWidth="1"/>
    <col min="10" max="10" width="16.375" style="9" customWidth="1"/>
    <col min="11" max="11" width="7.875" style="9" customWidth="1"/>
    <col min="12" max="12" width="15.875" style="9" hidden="1" customWidth="1"/>
    <col min="13" max="13" width="9.5" style="9" bestFit="1" customWidth="1"/>
    <col min="14" max="15" width="4.5" style="9" bestFit="1" customWidth="1"/>
    <col min="16" max="16" width="21.375" style="9" bestFit="1" customWidth="1"/>
    <col min="17" max="17" width="9.5" style="9" bestFit="1" customWidth="1"/>
    <col min="18" max="18" width="21.375" style="9" bestFit="1" customWidth="1"/>
    <col min="19" max="19" width="8" style="9" bestFit="1" customWidth="1"/>
    <col min="20" max="20" width="7.5" style="9" bestFit="1" customWidth="1"/>
    <col min="21" max="21" width="9.125" style="9" bestFit="1" customWidth="1"/>
    <col min="22" max="22" width="9.625" style="9" bestFit="1" customWidth="1"/>
    <col min="23" max="23" width="16" style="9" customWidth="1"/>
    <col min="24" max="24" width="8" style="9" bestFit="1" customWidth="1"/>
    <col min="25" max="25" width="4.5" style="9" bestFit="1" customWidth="1"/>
    <col min="26" max="26" width="9.5" style="9" bestFit="1" customWidth="1"/>
    <col min="27" max="28" width="7.625" style="9" bestFit="1" customWidth="1"/>
    <col min="29" max="29" width="2" style="9" customWidth="1"/>
    <col min="30" max="31" width="8" style="9" bestFit="1" customWidth="1"/>
    <col min="32" max="32" width="9" style="9"/>
    <col min="33" max="33" width="13.875" style="9" customWidth="1"/>
    <col min="34" max="34" width="8" style="9" bestFit="1" customWidth="1"/>
    <col min="35" max="35" width="2" style="9" customWidth="1"/>
    <col min="36" max="36" width="11.625" style="9" bestFit="1" customWidth="1"/>
    <col min="37" max="37" width="9.125" style="9" bestFit="1" customWidth="1"/>
    <col min="38" max="39" width="9" style="9"/>
    <col min="40" max="40" width="11.5" style="9" customWidth="1"/>
    <col min="41" max="16384" width="9" style="9"/>
  </cols>
  <sheetData>
    <row r="1" spans="2:24" ht="17.25" thickBot="1"/>
    <row r="2" spans="2:24" ht="52.5" customHeight="1" thickBot="1">
      <c r="B2" s="1" t="s">
        <v>20</v>
      </c>
      <c r="C2" s="1" t="s">
        <v>21</v>
      </c>
      <c r="D2" s="1" t="s">
        <v>22</v>
      </c>
      <c r="E2" s="1" t="s">
        <v>23</v>
      </c>
      <c r="G2" s="1" t="s">
        <v>24</v>
      </c>
      <c r="H2" s="1" t="s">
        <v>25</v>
      </c>
      <c r="I2" s="108" t="s">
        <v>26</v>
      </c>
      <c r="J2" s="109"/>
      <c r="K2" s="1" t="s">
        <v>27</v>
      </c>
      <c r="O2" s="1" t="s">
        <v>20</v>
      </c>
      <c r="P2" s="1" t="s">
        <v>21</v>
      </c>
      <c r="Q2" s="1" t="s">
        <v>22</v>
      </c>
      <c r="R2" s="1" t="s">
        <v>23</v>
      </c>
      <c r="T2" s="1" t="s">
        <v>28</v>
      </c>
      <c r="U2" s="1" t="s">
        <v>25</v>
      </c>
      <c r="V2" s="108" t="s">
        <v>26</v>
      </c>
      <c r="W2" s="109"/>
      <c r="X2" s="1" t="s">
        <v>27</v>
      </c>
    </row>
    <row r="3" spans="2:24" ht="17.25" thickBot="1">
      <c r="B3" s="1">
        <v>200</v>
      </c>
      <c r="C3" s="10">
        <v>2207026470</v>
      </c>
      <c r="D3" s="11">
        <v>2.8643999999999998</v>
      </c>
      <c r="E3" s="4">
        <v>13669361700</v>
      </c>
      <c r="G3" s="1">
        <f>B3</f>
        <v>200</v>
      </c>
      <c r="H3" s="12">
        <v>98708.333333333299</v>
      </c>
      <c r="O3" s="1">
        <v>260</v>
      </c>
      <c r="P3" s="10">
        <v>1731919984062</v>
      </c>
      <c r="Q3" s="11">
        <v>6.1142000000000003</v>
      </c>
      <c r="R3" s="4">
        <v>6358400139455</v>
      </c>
      <c r="T3" s="1">
        <f t="shared" ref="T3:T42" si="0">O3</f>
        <v>260</v>
      </c>
      <c r="U3" s="13">
        <f>2070553/1.2</f>
        <v>1725460.8333333335</v>
      </c>
    </row>
    <row r="4" spans="2:24" ht="17.25" thickBot="1">
      <c r="B4" s="1">
        <v>201</v>
      </c>
      <c r="C4" s="4">
        <v>2471869646</v>
      </c>
      <c r="D4" s="5">
        <v>0.12</v>
      </c>
      <c r="E4" s="4">
        <v>16141231346</v>
      </c>
      <c r="G4" s="1">
        <f t="shared" ref="G4:G32" si="1">B4</f>
        <v>201</v>
      </c>
      <c r="H4" s="12">
        <f>121667/1.2</f>
        <v>101389.16666666667</v>
      </c>
      <c r="O4" s="1">
        <v>261</v>
      </c>
      <c r="P4" s="4">
        <v>1749239183902</v>
      </c>
      <c r="Q4" s="5">
        <v>0.01</v>
      </c>
      <c r="R4" s="4">
        <v>8107639323357</v>
      </c>
      <c r="T4" s="1">
        <f t="shared" si="0"/>
        <v>261</v>
      </c>
      <c r="U4" s="13">
        <f>2100348/1.2</f>
        <v>1750290</v>
      </c>
    </row>
    <row r="5" spans="2:24" ht="17.25" thickBot="1">
      <c r="B5" s="1">
        <v>202</v>
      </c>
      <c r="C5" s="4">
        <v>2768494003</v>
      </c>
      <c r="D5" s="5">
        <v>0.12</v>
      </c>
      <c r="E5" s="4">
        <v>18909725349</v>
      </c>
      <c r="G5" s="1">
        <f t="shared" si="1"/>
        <v>202</v>
      </c>
      <c r="H5" s="12">
        <f>114511/1.1</f>
        <v>104100.90909090909</v>
      </c>
      <c r="O5" s="1">
        <v>262</v>
      </c>
      <c r="P5" s="4">
        <v>1766731575741</v>
      </c>
      <c r="Q5" s="5">
        <v>0.01</v>
      </c>
      <c r="R5" s="4">
        <v>9874370899098</v>
      </c>
      <c r="T5" s="1">
        <f t="shared" si="0"/>
        <v>262</v>
      </c>
      <c r="U5" s="13">
        <v>1775159</v>
      </c>
    </row>
    <row r="6" spans="2:24" ht="17.25" thickBot="1">
      <c r="B6" s="1">
        <v>203</v>
      </c>
      <c r="C6" s="4">
        <v>3100713283</v>
      </c>
      <c r="D6" s="5">
        <v>0.12</v>
      </c>
      <c r="E6" s="4">
        <v>22010438632</v>
      </c>
      <c r="G6" s="1">
        <f t="shared" si="1"/>
        <v>203</v>
      </c>
      <c r="H6" s="12">
        <f>117838/1.1</f>
        <v>107125.45454545453</v>
      </c>
      <c r="O6" s="1">
        <v>263</v>
      </c>
      <c r="P6" s="4">
        <v>1784398891498</v>
      </c>
      <c r="Q6" s="5">
        <v>0.01</v>
      </c>
      <c r="R6" s="4">
        <v>11658769790596</v>
      </c>
      <c r="T6" s="1">
        <f t="shared" si="0"/>
        <v>263</v>
      </c>
      <c r="U6" s="13">
        <v>1800203</v>
      </c>
    </row>
    <row r="7" spans="2:24" ht="17.25" thickBot="1">
      <c r="B7" s="1">
        <v>204</v>
      </c>
      <c r="C7" s="4">
        <v>3472798876</v>
      </c>
      <c r="D7" s="5">
        <v>0.12</v>
      </c>
      <c r="E7" s="4">
        <v>25483237508</v>
      </c>
      <c r="G7" s="1">
        <f t="shared" si="1"/>
        <v>204</v>
      </c>
      <c r="H7" s="12">
        <f>120875/1.1</f>
        <v>109886.36363636363</v>
      </c>
      <c r="O7" s="1">
        <v>264</v>
      </c>
      <c r="P7" s="4">
        <v>1802242880412</v>
      </c>
      <c r="Q7" s="5">
        <v>0.01</v>
      </c>
      <c r="R7" s="4">
        <v>13461012671008</v>
      </c>
      <c r="T7" s="1">
        <f t="shared" si="0"/>
        <v>264</v>
      </c>
      <c r="U7" s="13">
        <v>1828409</v>
      </c>
      <c r="V7" s="102" t="s">
        <v>29</v>
      </c>
      <c r="W7" s="103"/>
      <c r="X7" s="12">
        <v>260</v>
      </c>
    </row>
    <row r="8" spans="2:24" ht="17.25" thickBot="1">
      <c r="B8" s="1">
        <v>205</v>
      </c>
      <c r="C8" s="4">
        <v>3889534741</v>
      </c>
      <c r="D8" s="5">
        <v>0.12</v>
      </c>
      <c r="E8" s="4">
        <v>29372772249</v>
      </c>
      <c r="G8" s="1">
        <f t="shared" si="1"/>
        <v>205</v>
      </c>
      <c r="H8" s="12">
        <f>118295/1.05</f>
        <v>112661.90476190476</v>
      </c>
      <c r="O8" s="1">
        <v>265</v>
      </c>
      <c r="P8" s="4">
        <v>2342915744535</v>
      </c>
      <c r="Q8" s="5">
        <v>0.3</v>
      </c>
      <c r="R8" s="4">
        <v>15803928415543</v>
      </c>
      <c r="T8" s="1">
        <f t="shared" si="0"/>
        <v>265</v>
      </c>
      <c r="U8" s="13">
        <v>2056974</v>
      </c>
    </row>
    <row r="9" spans="2:24" ht="17.25" thickBot="1">
      <c r="B9" s="1">
        <v>206</v>
      </c>
      <c r="C9" s="4">
        <v>4356278909</v>
      </c>
      <c r="D9" s="5">
        <v>0.12</v>
      </c>
      <c r="E9" s="4">
        <v>33729051158</v>
      </c>
      <c r="G9" s="1">
        <f t="shared" si="1"/>
        <v>206</v>
      </c>
      <c r="H9" s="12">
        <f>121244/1.05</f>
        <v>115470.47619047618</v>
      </c>
      <c r="O9" s="1">
        <v>266</v>
      </c>
      <c r="P9" s="4">
        <v>2366344901980</v>
      </c>
      <c r="Q9" s="5">
        <v>0.01</v>
      </c>
      <c r="R9" s="4">
        <v>18170273317523</v>
      </c>
      <c r="T9" s="1">
        <f t="shared" si="0"/>
        <v>266</v>
      </c>
      <c r="U9" s="13">
        <v>2085219</v>
      </c>
    </row>
    <row r="10" spans="2:24" ht="17.25" thickBot="1">
      <c r="B10" s="1">
        <v>207</v>
      </c>
      <c r="C10" s="4">
        <v>4879032378</v>
      </c>
      <c r="D10" s="5">
        <v>0.12</v>
      </c>
      <c r="E10" s="4">
        <v>38608083536</v>
      </c>
      <c r="G10" s="1">
        <f t="shared" si="1"/>
        <v>207</v>
      </c>
      <c r="H10" s="12">
        <f>130458/1.1</f>
        <v>118598.18181818181</v>
      </c>
      <c r="O10" s="1">
        <v>267</v>
      </c>
      <c r="P10" s="4">
        <v>2390008350999</v>
      </c>
      <c r="Q10" s="5">
        <v>0.01</v>
      </c>
      <c r="R10" s="4">
        <v>20560281668522</v>
      </c>
      <c r="T10" s="1">
        <f t="shared" si="0"/>
        <v>267</v>
      </c>
      <c r="U10" s="13">
        <v>2113572</v>
      </c>
    </row>
    <row r="11" spans="2:24" ht="17.25" thickBot="1">
      <c r="B11" s="1">
        <v>208</v>
      </c>
      <c r="C11" s="4">
        <v>5464516263</v>
      </c>
      <c r="D11" s="5">
        <v>0.12</v>
      </c>
      <c r="E11" s="4">
        <v>44072599799</v>
      </c>
      <c r="G11" s="1">
        <f t="shared" si="1"/>
        <v>208</v>
      </c>
      <c r="H11" s="12">
        <f>133598/1.1</f>
        <v>121452.72727272726</v>
      </c>
      <c r="I11" s="33"/>
      <c r="O11" s="1">
        <v>268</v>
      </c>
      <c r="P11" s="4">
        <v>2413908434508</v>
      </c>
      <c r="Q11" s="5">
        <v>0.01</v>
      </c>
      <c r="R11" s="4">
        <v>22974190103030</v>
      </c>
      <c r="T11" s="1">
        <f t="shared" si="0"/>
        <v>268</v>
      </c>
      <c r="U11" s="13">
        <v>2145596</v>
      </c>
    </row>
    <row r="12" spans="2:24" ht="17.25" thickBot="1">
      <c r="B12" s="1">
        <v>209</v>
      </c>
      <c r="C12" s="4">
        <v>6120258214</v>
      </c>
      <c r="D12" s="5">
        <v>0.12</v>
      </c>
      <c r="E12" s="4">
        <v>50192858013</v>
      </c>
      <c r="G12" s="1">
        <f t="shared" si="1"/>
        <v>209</v>
      </c>
      <c r="H12" s="12">
        <v>207203</v>
      </c>
      <c r="I12" s="12">
        <v>121453</v>
      </c>
      <c r="J12" s="51" t="s">
        <v>30</v>
      </c>
      <c r="K12" s="12">
        <v>200</v>
      </c>
      <c r="O12" s="1">
        <v>269</v>
      </c>
      <c r="P12" s="4">
        <v>2438047518853</v>
      </c>
      <c r="Q12" s="5">
        <v>0.01</v>
      </c>
      <c r="R12" s="4">
        <v>25412237621883</v>
      </c>
      <c r="T12" s="1">
        <f t="shared" si="0"/>
        <v>269</v>
      </c>
      <c r="U12" s="13">
        <v>2174274</v>
      </c>
      <c r="V12" s="102" t="s">
        <v>31</v>
      </c>
      <c r="W12" s="103"/>
      <c r="X12" s="12">
        <v>265</v>
      </c>
    </row>
    <row r="13" spans="2:24" ht="17.25" thickBot="1">
      <c r="B13" s="1">
        <v>210</v>
      </c>
      <c r="C13" s="4">
        <v>7344309856</v>
      </c>
      <c r="D13" s="5">
        <v>0.2</v>
      </c>
      <c r="E13" s="4">
        <v>57537167869</v>
      </c>
      <c r="G13" s="1">
        <f t="shared" si="1"/>
        <v>210</v>
      </c>
      <c r="H13" s="12">
        <f>297604/1.2</f>
        <v>248003.33333333334</v>
      </c>
      <c r="O13" s="1">
        <v>270</v>
      </c>
      <c r="P13" s="4">
        <v>5412465491853</v>
      </c>
      <c r="Q13" s="5">
        <v>1.22</v>
      </c>
      <c r="R13" s="4">
        <v>30824703113736</v>
      </c>
      <c r="T13" s="1">
        <f t="shared" si="0"/>
        <v>270</v>
      </c>
      <c r="U13" s="13">
        <v>2445217</v>
      </c>
    </row>
    <row r="14" spans="2:24" ht="17.25" thickBot="1">
      <c r="B14" s="1">
        <v>211</v>
      </c>
      <c r="C14" s="4">
        <v>8152183940</v>
      </c>
      <c r="D14" s="5">
        <v>0.11</v>
      </c>
      <c r="E14" s="4">
        <v>65689351809</v>
      </c>
      <c r="G14" s="1">
        <f t="shared" si="1"/>
        <v>211</v>
      </c>
      <c r="H14" s="12">
        <f>304408/1.2</f>
        <v>253673.33333333334</v>
      </c>
      <c r="O14" s="1">
        <v>271</v>
      </c>
      <c r="P14" s="4">
        <v>5466590146771</v>
      </c>
      <c r="Q14" s="5">
        <v>0.01</v>
      </c>
      <c r="R14" s="4">
        <v>36291293260507</v>
      </c>
      <c r="T14" s="1">
        <f t="shared" si="0"/>
        <v>271</v>
      </c>
      <c r="U14" s="13">
        <v>2481337</v>
      </c>
    </row>
    <row r="15" spans="2:24" ht="17.25" thickBot="1">
      <c r="B15" s="1">
        <v>212</v>
      </c>
      <c r="C15" s="4">
        <v>9048924173</v>
      </c>
      <c r="D15" s="5">
        <v>0.11</v>
      </c>
      <c r="E15" s="4">
        <v>74738275982</v>
      </c>
      <c r="G15" s="1">
        <f t="shared" si="1"/>
        <v>212</v>
      </c>
      <c r="H15" s="12">
        <f>286052/1.1</f>
        <v>260047.27272727271</v>
      </c>
      <c r="O15" s="1">
        <v>272</v>
      </c>
      <c r="P15" s="4">
        <v>5521256048238</v>
      </c>
      <c r="Q15" s="5">
        <v>0.01</v>
      </c>
      <c r="R15" s="4">
        <v>41812549308745</v>
      </c>
      <c r="T15" s="1">
        <f t="shared" si="0"/>
        <v>272</v>
      </c>
      <c r="U15" s="13">
        <v>2513634</v>
      </c>
    </row>
    <row r="16" spans="2:24" ht="17.25" thickBot="1">
      <c r="B16" s="1">
        <v>213</v>
      </c>
      <c r="C16" s="10">
        <v>10044305832</v>
      </c>
      <c r="D16" s="5">
        <v>0.11</v>
      </c>
      <c r="E16" s="4">
        <v>84782581814</v>
      </c>
      <c r="G16" s="1">
        <f t="shared" si="1"/>
        <v>213</v>
      </c>
      <c r="H16" s="12">
        <f>292389/1.1</f>
        <v>265808.18181818182</v>
      </c>
      <c r="I16" s="102" t="s">
        <v>32</v>
      </c>
      <c r="J16" s="103"/>
      <c r="K16" s="12">
        <v>205</v>
      </c>
      <c r="O16" s="1">
        <v>273</v>
      </c>
      <c r="P16" s="4">
        <v>5576468608720</v>
      </c>
      <c r="Q16" s="5">
        <v>0.01</v>
      </c>
      <c r="R16" s="4">
        <v>47389017917465</v>
      </c>
      <c r="T16" s="1">
        <f t="shared" si="0"/>
        <v>273</v>
      </c>
      <c r="U16" s="13">
        <v>2546149</v>
      </c>
    </row>
    <row r="17" spans="2:24" ht="17.25" thickBot="1">
      <c r="B17" s="1">
        <v>214</v>
      </c>
      <c r="C17" s="4">
        <v>11149179473</v>
      </c>
      <c r="D17" s="5">
        <v>0.11</v>
      </c>
      <c r="E17" s="4">
        <v>95931761287</v>
      </c>
      <c r="G17" s="1">
        <f t="shared" si="1"/>
        <v>214</v>
      </c>
      <c r="H17" s="12">
        <f>298783/1.1</f>
        <v>271620.90909090906</v>
      </c>
      <c r="O17" s="1">
        <v>274</v>
      </c>
      <c r="P17" s="4">
        <v>5632233294807</v>
      </c>
      <c r="Q17" s="5">
        <v>0.01</v>
      </c>
      <c r="R17" s="4">
        <v>53021251212272</v>
      </c>
      <c r="T17" s="1">
        <f t="shared" si="0"/>
        <v>274</v>
      </c>
      <c r="U17" s="13">
        <v>2582906</v>
      </c>
      <c r="V17" s="102" t="s">
        <v>33</v>
      </c>
      <c r="W17" s="103"/>
      <c r="X17" s="12">
        <v>270</v>
      </c>
    </row>
    <row r="18" spans="2:24" ht="17.25" thickBot="1">
      <c r="B18" s="1">
        <v>215</v>
      </c>
      <c r="C18" s="4">
        <v>13379015367</v>
      </c>
      <c r="D18" s="5">
        <v>0.2</v>
      </c>
      <c r="E18" s="10">
        <v>109310776654</v>
      </c>
      <c r="G18" s="1">
        <f t="shared" si="1"/>
        <v>215</v>
      </c>
      <c r="H18" s="12">
        <f>292045/1.05</f>
        <v>278138.09523809521</v>
      </c>
      <c r="O18" s="1">
        <v>275</v>
      </c>
      <c r="P18" s="10">
        <v>11377111255510</v>
      </c>
      <c r="Q18" s="5">
        <v>1.02</v>
      </c>
      <c r="R18" s="4">
        <v>64398362467782</v>
      </c>
      <c r="T18" s="1">
        <f t="shared" si="0"/>
        <v>275</v>
      </c>
      <c r="U18" s="14">
        <v>2903024</v>
      </c>
    </row>
    <row r="19" spans="2:24" ht="17.25" thickBot="1">
      <c r="B19" s="1">
        <v>216</v>
      </c>
      <c r="C19" s="4">
        <v>14583126750</v>
      </c>
      <c r="D19" s="5">
        <v>0.09</v>
      </c>
      <c r="E19" s="4">
        <v>123893903404</v>
      </c>
      <c r="G19" s="1">
        <f t="shared" si="1"/>
        <v>216</v>
      </c>
      <c r="H19" s="12">
        <f>340852/1.2</f>
        <v>284043.33333333337</v>
      </c>
      <c r="O19" s="1">
        <v>276</v>
      </c>
      <c r="P19" s="4">
        <v>12514822381061</v>
      </c>
      <c r="Q19" s="5">
        <v>0.1</v>
      </c>
      <c r="R19" s="4">
        <v>76913184848843</v>
      </c>
      <c r="T19" s="1">
        <f t="shared" si="0"/>
        <v>276</v>
      </c>
      <c r="U19" s="14">
        <v>2939616</v>
      </c>
    </row>
    <row r="20" spans="2:24" ht="17.25" thickBot="1">
      <c r="B20" s="1">
        <v>217</v>
      </c>
      <c r="C20" s="4">
        <v>15895608157</v>
      </c>
      <c r="D20" s="5">
        <v>0.09</v>
      </c>
      <c r="E20" s="4">
        <v>139789511561</v>
      </c>
      <c r="G20" s="1">
        <f t="shared" si="1"/>
        <v>217</v>
      </c>
      <c r="H20" s="12">
        <f>319747/1.1</f>
        <v>290679.09090909088</v>
      </c>
      <c r="O20" s="1">
        <v>277</v>
      </c>
      <c r="P20" s="4">
        <v>13766304619167</v>
      </c>
      <c r="Q20" s="5">
        <v>0.1</v>
      </c>
      <c r="R20" s="4">
        <v>90679489468010</v>
      </c>
      <c r="T20" s="1">
        <f t="shared" si="0"/>
        <v>277</v>
      </c>
      <c r="U20" s="14">
        <v>2981010</v>
      </c>
    </row>
    <row r="21" spans="2:24" ht="17.25" thickBot="1">
      <c r="B21" s="1">
        <v>218</v>
      </c>
      <c r="C21" s="4">
        <v>17326212891</v>
      </c>
      <c r="D21" s="5">
        <v>0.09</v>
      </c>
      <c r="E21" s="4">
        <v>157115724452</v>
      </c>
      <c r="G21" s="1">
        <f t="shared" si="1"/>
        <v>218</v>
      </c>
      <c r="H21" s="12">
        <f>326318/1.1</f>
        <v>296652.72727272724</v>
      </c>
      <c r="O21" s="1">
        <v>278</v>
      </c>
      <c r="P21" s="4">
        <v>15142935081083</v>
      </c>
      <c r="Q21" s="5">
        <v>0.1</v>
      </c>
      <c r="R21" s="10">
        <v>105822424549093</v>
      </c>
      <c r="T21" s="1">
        <f t="shared" si="0"/>
        <v>278</v>
      </c>
      <c r="U21" s="14">
        <v>3017988</v>
      </c>
    </row>
    <row r="22" spans="2:24" ht="17.25" thickBot="1">
      <c r="B22" s="1">
        <v>219</v>
      </c>
      <c r="C22" s="4">
        <v>18885572051</v>
      </c>
      <c r="D22" s="5">
        <v>0.09</v>
      </c>
      <c r="E22" s="4">
        <v>176001296503</v>
      </c>
      <c r="G22" s="1">
        <f t="shared" si="1"/>
        <v>219</v>
      </c>
      <c r="H22" s="12">
        <f>333733/1.1</f>
        <v>303393.63636363635</v>
      </c>
      <c r="I22" s="102" t="s">
        <v>34</v>
      </c>
      <c r="J22" s="103"/>
      <c r="K22" s="12">
        <v>210</v>
      </c>
      <c r="O22" s="1">
        <v>279</v>
      </c>
      <c r="P22" s="4">
        <v>16657228589191</v>
      </c>
      <c r="Q22" s="5">
        <v>0.1</v>
      </c>
      <c r="R22" s="4">
        <v>122479653138284</v>
      </c>
      <c r="T22" s="1">
        <f t="shared" si="0"/>
        <v>279</v>
      </c>
      <c r="U22" s="14">
        <v>3059716</v>
      </c>
      <c r="V22" s="102" t="s">
        <v>35</v>
      </c>
      <c r="W22" s="103"/>
      <c r="X22" s="12">
        <v>275</v>
      </c>
    </row>
    <row r="23" spans="2:24" ht="17.25" thickBot="1">
      <c r="B23" s="1">
        <v>220</v>
      </c>
      <c r="C23" s="4">
        <v>22662686461</v>
      </c>
      <c r="D23" s="5">
        <v>0.2</v>
      </c>
      <c r="E23" s="4">
        <v>198663982964</v>
      </c>
      <c r="G23" s="1">
        <f t="shared" si="1"/>
        <v>220</v>
      </c>
      <c r="H23" s="12">
        <f>371364/1.2</f>
        <v>309470</v>
      </c>
      <c r="I23" s="102" t="s">
        <v>36</v>
      </c>
      <c r="J23" s="103"/>
      <c r="K23" s="12">
        <v>215</v>
      </c>
      <c r="O23" s="1">
        <v>280</v>
      </c>
      <c r="P23" s="4">
        <v>33647601750165</v>
      </c>
      <c r="Q23" s="5">
        <v>1.02</v>
      </c>
      <c r="R23" s="4">
        <v>156127254888449</v>
      </c>
      <c r="T23" s="1">
        <f t="shared" si="0"/>
        <v>280</v>
      </c>
      <c r="U23" s="14">
        <v>3436027</v>
      </c>
    </row>
    <row r="24" spans="2:24" ht="17.25" thickBot="1">
      <c r="B24" s="1">
        <v>221</v>
      </c>
      <c r="C24" s="4">
        <v>24249074513</v>
      </c>
      <c r="D24" s="5">
        <v>7.0000000000000007E-2</v>
      </c>
      <c r="E24" s="4">
        <v>222913057477</v>
      </c>
      <c r="G24" s="1">
        <f t="shared" si="1"/>
        <v>221</v>
      </c>
      <c r="H24" s="12">
        <f>379579/1.2</f>
        <v>316315.83333333337</v>
      </c>
      <c r="O24" s="1">
        <v>281</v>
      </c>
      <c r="P24" s="4">
        <v>37012361925181</v>
      </c>
      <c r="Q24" s="5">
        <v>0.1</v>
      </c>
      <c r="R24" s="4">
        <v>193139616813630</v>
      </c>
      <c r="T24" s="1">
        <f t="shared" si="0"/>
        <v>281</v>
      </c>
      <c r="U24" s="14">
        <v>3482914</v>
      </c>
    </row>
    <row r="25" spans="2:24" ht="17.25" thickBot="1">
      <c r="B25" s="1">
        <v>222</v>
      </c>
      <c r="C25" s="4">
        <v>25946509728</v>
      </c>
      <c r="D25" s="5">
        <v>7.0000000000000007E-2</v>
      </c>
      <c r="E25" s="4">
        <v>248859567205</v>
      </c>
      <c r="G25" s="1">
        <f t="shared" si="1"/>
        <v>222</v>
      </c>
      <c r="H25" s="12">
        <f>354720/1.1</f>
        <v>322472.72727272724</v>
      </c>
      <c r="O25" s="1">
        <v>282</v>
      </c>
      <c r="P25" s="4">
        <v>40713598117699</v>
      </c>
      <c r="Q25" s="5">
        <v>0.1</v>
      </c>
      <c r="R25" s="4">
        <v>233853214931329</v>
      </c>
      <c r="T25" s="1">
        <f t="shared" si="0"/>
        <v>282</v>
      </c>
      <c r="U25" s="14">
        <v>3524768</v>
      </c>
    </row>
    <row r="26" spans="2:24" ht="17.25" thickBot="1">
      <c r="B26" s="1">
        <v>223</v>
      </c>
      <c r="C26" s="4">
        <v>27762765408</v>
      </c>
      <c r="D26" s="5">
        <v>7.0000000000000007E-2</v>
      </c>
      <c r="E26" s="4">
        <v>276622332613</v>
      </c>
      <c r="G26" s="1">
        <f t="shared" si="1"/>
        <v>223</v>
      </c>
      <c r="H26" s="12">
        <f>362359/1.1</f>
        <v>329417.27272727271</v>
      </c>
      <c r="O26" s="1">
        <v>283</v>
      </c>
      <c r="P26" s="4">
        <v>44784957929468</v>
      </c>
      <c r="Q26" s="5">
        <v>0.1</v>
      </c>
      <c r="R26" s="4">
        <v>278638172860797</v>
      </c>
      <c r="T26" s="1">
        <f t="shared" si="0"/>
        <v>283</v>
      </c>
      <c r="U26" s="14">
        <v>3572010</v>
      </c>
    </row>
    <row r="27" spans="2:24" ht="17.25" thickBot="1">
      <c r="B27" s="1">
        <v>224</v>
      </c>
      <c r="C27" s="4">
        <v>29706158986</v>
      </c>
      <c r="D27" s="5">
        <v>7.0000000000000007E-2</v>
      </c>
      <c r="E27" s="4">
        <v>306328491599</v>
      </c>
      <c r="G27" s="1">
        <f t="shared" si="1"/>
        <v>224</v>
      </c>
      <c r="H27" s="12">
        <f>369243/1.1</f>
        <v>335675.45454545453</v>
      </c>
      <c r="O27" s="1">
        <v>284</v>
      </c>
      <c r="P27" s="4">
        <v>49263453722414</v>
      </c>
      <c r="Q27" s="5">
        <v>0.1</v>
      </c>
      <c r="R27" s="4">
        <v>327901626583211</v>
      </c>
      <c r="T27" s="1">
        <f t="shared" si="0"/>
        <v>284</v>
      </c>
      <c r="U27" s="14">
        <v>3614278</v>
      </c>
      <c r="V27" s="102" t="s">
        <v>37</v>
      </c>
      <c r="W27" s="103"/>
      <c r="X27" s="12">
        <v>280</v>
      </c>
    </row>
    <row r="28" spans="2:24" ht="17.25" thickBot="1">
      <c r="B28" s="1">
        <v>225</v>
      </c>
      <c r="C28" s="4">
        <v>35647390783</v>
      </c>
      <c r="D28" s="5">
        <v>0.2</v>
      </c>
      <c r="E28" s="4">
        <v>341975882382</v>
      </c>
      <c r="G28" s="1">
        <f t="shared" si="1"/>
        <v>225</v>
      </c>
      <c r="H28" s="12">
        <f>359856/1.05</f>
        <v>342720</v>
      </c>
      <c r="O28" s="1">
        <v>285</v>
      </c>
      <c r="P28" s="4">
        <v>99512176519276</v>
      </c>
      <c r="Q28" s="5">
        <v>1.02</v>
      </c>
      <c r="R28" s="4">
        <v>427413803102487</v>
      </c>
      <c r="T28" s="1">
        <f t="shared" si="0"/>
        <v>285</v>
      </c>
      <c r="U28" s="14">
        <v>4062965</v>
      </c>
    </row>
    <row r="29" spans="2:24">
      <c r="B29" s="1">
        <v>226</v>
      </c>
      <c r="C29" s="4">
        <v>38142708137</v>
      </c>
      <c r="D29" s="5">
        <v>7.0000000000000007E-2</v>
      </c>
      <c r="E29" s="4">
        <v>380118590519</v>
      </c>
      <c r="G29" s="1">
        <f t="shared" si="1"/>
        <v>226</v>
      </c>
      <c r="H29" s="12">
        <f>419803/1.2</f>
        <v>349835.83333333337</v>
      </c>
      <c r="O29" s="1">
        <v>286</v>
      </c>
      <c r="P29" s="10">
        <v>109463394171203</v>
      </c>
      <c r="Q29" s="5">
        <v>0.1</v>
      </c>
      <c r="R29" s="4">
        <v>536877197273690</v>
      </c>
      <c r="T29" s="1">
        <f t="shared" si="0"/>
        <v>286</v>
      </c>
      <c r="U29" s="14">
        <v>4110304</v>
      </c>
    </row>
    <row r="30" spans="2:24" ht="17.25" customHeight="1">
      <c r="B30" s="1">
        <v>227</v>
      </c>
      <c r="C30" s="4">
        <v>40812697706</v>
      </c>
      <c r="D30" s="5">
        <v>7.0000000000000007E-2</v>
      </c>
      <c r="E30" s="4">
        <v>420931288225</v>
      </c>
      <c r="G30" s="1">
        <f t="shared" si="1"/>
        <v>227</v>
      </c>
      <c r="H30" s="50">
        <f>391838/1.1</f>
        <v>356216.36363636359</v>
      </c>
      <c r="I30" s="104" t="s">
        <v>38</v>
      </c>
      <c r="J30" s="105"/>
      <c r="K30" s="41">
        <v>220</v>
      </c>
      <c r="O30" s="1">
        <v>287</v>
      </c>
      <c r="P30" s="4">
        <v>120409733588323</v>
      </c>
      <c r="Q30" s="5">
        <v>0.1</v>
      </c>
      <c r="R30" s="4">
        <v>657286930862013</v>
      </c>
      <c r="T30" s="1">
        <f t="shared" si="0"/>
        <v>287</v>
      </c>
      <c r="U30" s="14">
        <v>4163751</v>
      </c>
    </row>
    <row r="31" spans="2:24" ht="17.25" customHeight="1">
      <c r="B31" s="1">
        <v>228</v>
      </c>
      <c r="C31" s="4">
        <v>43669586545</v>
      </c>
      <c r="D31" s="5">
        <v>7.0000000000000007E-2</v>
      </c>
      <c r="E31" s="4">
        <v>464600874770</v>
      </c>
      <c r="G31" s="1">
        <f t="shared" si="1"/>
        <v>228</v>
      </c>
      <c r="H31" s="12">
        <f>399817/1.1</f>
        <v>363469.99999999994</v>
      </c>
      <c r="O31" s="1">
        <v>288</v>
      </c>
      <c r="P31" s="4">
        <v>132450706947155</v>
      </c>
      <c r="Q31" s="5">
        <v>0.1</v>
      </c>
      <c r="R31" s="4">
        <v>789737637809168</v>
      </c>
      <c r="T31" s="1">
        <f t="shared" si="0"/>
        <v>288</v>
      </c>
      <c r="U31" s="14">
        <v>4217526</v>
      </c>
    </row>
    <row r="32" spans="2:24">
      <c r="B32" s="1">
        <v>229</v>
      </c>
      <c r="C32" s="4">
        <v>46726457603</v>
      </c>
      <c r="D32" s="5">
        <v>7.0000000000000007E-2</v>
      </c>
      <c r="E32" s="4">
        <v>511327332373</v>
      </c>
      <c r="G32" s="1">
        <f t="shared" si="1"/>
        <v>229</v>
      </c>
      <c r="H32" s="12" t="s">
        <v>39</v>
      </c>
      <c r="O32" s="1">
        <v>289</v>
      </c>
      <c r="P32" s="4">
        <v>145695777641870</v>
      </c>
      <c r="Q32" s="5">
        <v>0.1</v>
      </c>
      <c r="R32" s="4">
        <v>935433415451038</v>
      </c>
      <c r="T32" s="1">
        <f t="shared" si="0"/>
        <v>289</v>
      </c>
      <c r="U32" s="14">
        <v>4265489</v>
      </c>
      <c r="V32" s="102" t="s">
        <v>40</v>
      </c>
      <c r="W32" s="103"/>
      <c r="X32" s="12">
        <v>285</v>
      </c>
    </row>
    <row r="33" spans="2:25" ht="17.25" thickBot="1">
      <c r="B33" s="1">
        <v>230</v>
      </c>
      <c r="C33" s="4">
        <v>56071749123</v>
      </c>
      <c r="D33" s="5">
        <v>0.2</v>
      </c>
      <c r="E33" s="4">
        <v>567399081496</v>
      </c>
      <c r="G33" s="1">
        <f>B33</f>
        <v>230</v>
      </c>
      <c r="H33" s="12">
        <f>472033/1.2</f>
        <v>393360.83333333337</v>
      </c>
      <c r="O33" s="1">
        <v>290</v>
      </c>
      <c r="P33" s="4">
        <v>294305470836577</v>
      </c>
      <c r="Q33" s="5">
        <v>1.02</v>
      </c>
      <c r="R33" s="10">
        <v>1229738886287610</v>
      </c>
      <c r="T33" s="1">
        <f t="shared" si="0"/>
        <v>290</v>
      </c>
      <c r="U33" s="14">
        <v>4793318</v>
      </c>
    </row>
    <row r="34" spans="2:25" ht="17.25" thickBot="1">
      <c r="B34" s="1">
        <v>231</v>
      </c>
      <c r="C34" s="4">
        <v>57753901596</v>
      </c>
      <c r="D34" s="5">
        <v>0.03</v>
      </c>
      <c r="E34" s="4">
        <v>625152983092</v>
      </c>
      <c r="G34" s="1">
        <f t="shared" ref="G34:G62" si="2">B34</f>
        <v>231</v>
      </c>
      <c r="H34" s="12">
        <f>481266/1.2</f>
        <v>401055</v>
      </c>
      <c r="O34" s="1">
        <v>291</v>
      </c>
      <c r="P34" s="4">
        <v>323736017920234</v>
      </c>
      <c r="Q34" s="5">
        <v>0.1</v>
      </c>
      <c r="R34" s="4">
        <v>1553474904207840</v>
      </c>
      <c r="T34" s="1">
        <f t="shared" si="0"/>
        <v>291</v>
      </c>
      <c r="U34" s="14">
        <v>4847012</v>
      </c>
    </row>
    <row r="35" spans="2:25" ht="17.25" thickBot="1">
      <c r="B35" s="1">
        <v>232</v>
      </c>
      <c r="C35" s="4">
        <v>59486518643</v>
      </c>
      <c r="D35" s="5">
        <v>0.03</v>
      </c>
      <c r="E35" s="4">
        <v>684639501735</v>
      </c>
      <c r="G35" s="1">
        <f t="shared" si="2"/>
        <v>232</v>
      </c>
      <c r="H35" s="12">
        <f>449656/1.1</f>
        <v>408778.18181818177</v>
      </c>
      <c r="O35" s="1">
        <v>292</v>
      </c>
      <c r="P35" s="4">
        <v>356109619712257</v>
      </c>
      <c r="Q35" s="5">
        <v>0.1</v>
      </c>
      <c r="R35" s="4">
        <v>1909584523920100</v>
      </c>
      <c r="T35" s="1">
        <f t="shared" si="0"/>
        <v>292</v>
      </c>
      <c r="U35" s="14">
        <v>4907812</v>
      </c>
    </row>
    <row r="36" spans="2:25" ht="17.25" thickBot="1">
      <c r="B36" s="1">
        <v>233</v>
      </c>
      <c r="C36" s="4">
        <v>61271114202</v>
      </c>
      <c r="D36" s="5">
        <v>0.03</v>
      </c>
      <c r="E36" s="4">
        <v>745910615937</v>
      </c>
      <c r="G36" s="1">
        <f t="shared" si="2"/>
        <v>233</v>
      </c>
      <c r="H36" s="12">
        <f>457272/1.1</f>
        <v>415701.81818181818</v>
      </c>
      <c r="O36" s="1">
        <v>293</v>
      </c>
      <c r="P36" s="4">
        <v>391720581683482</v>
      </c>
      <c r="Q36" s="5">
        <v>0.1</v>
      </c>
      <c r="R36" s="4">
        <v>2301305105603580</v>
      </c>
      <c r="T36" s="1">
        <f t="shared" si="0"/>
        <v>293</v>
      </c>
      <c r="U36" s="14">
        <v>4968977</v>
      </c>
    </row>
    <row r="37" spans="2:25" ht="17.25" thickBot="1">
      <c r="B37" s="1">
        <v>234</v>
      </c>
      <c r="C37" s="4">
        <v>63109247628</v>
      </c>
      <c r="D37" s="5">
        <v>0.03</v>
      </c>
      <c r="E37" s="4">
        <v>809019863565</v>
      </c>
      <c r="G37" s="1">
        <f t="shared" si="2"/>
        <v>234</v>
      </c>
      <c r="H37" s="12">
        <f>465896/1.1</f>
        <v>423541.81818181818</v>
      </c>
      <c r="O37" s="1">
        <v>294</v>
      </c>
      <c r="P37" s="4">
        <v>430892639851830</v>
      </c>
      <c r="Q37" s="5">
        <v>0.1</v>
      </c>
      <c r="R37" s="4">
        <v>2732197745455410</v>
      </c>
      <c r="T37" s="1">
        <f t="shared" si="0"/>
        <v>294</v>
      </c>
      <c r="U37" s="14">
        <v>5023491</v>
      </c>
      <c r="V37" s="102" t="s">
        <v>41</v>
      </c>
      <c r="W37" s="103"/>
      <c r="X37" s="12">
        <v>290</v>
      </c>
    </row>
    <row r="38" spans="2:25" ht="17.25" thickBot="1">
      <c r="B38" s="1">
        <v>235</v>
      </c>
      <c r="C38" s="4">
        <v>75731097153</v>
      </c>
      <c r="D38" s="5">
        <v>0.2</v>
      </c>
      <c r="E38" s="4">
        <v>884750960718</v>
      </c>
      <c r="G38" s="1">
        <f t="shared" si="2"/>
        <v>235</v>
      </c>
      <c r="H38" s="12">
        <f>453032/1.05</f>
        <v>431459.04761904757</v>
      </c>
      <c r="O38" s="1">
        <v>295</v>
      </c>
      <c r="P38" s="4">
        <v>870403132500696</v>
      </c>
      <c r="Q38" s="5">
        <v>1.02</v>
      </c>
      <c r="R38" s="4">
        <v>3602600877956110</v>
      </c>
      <c r="T38" s="1">
        <f t="shared" si="0"/>
        <v>295</v>
      </c>
      <c r="U38" s="14">
        <v>5643220</v>
      </c>
    </row>
    <row r="39" spans="2:25" ht="17.25" thickBot="1">
      <c r="B39" s="1">
        <v>236</v>
      </c>
      <c r="C39" s="4">
        <v>78003030067</v>
      </c>
      <c r="D39" s="5">
        <v>0.03</v>
      </c>
      <c r="E39" s="4">
        <v>962753990785</v>
      </c>
      <c r="G39" s="1">
        <f t="shared" si="2"/>
        <v>236</v>
      </c>
      <c r="H39" s="12">
        <f>461372/1.05</f>
        <v>439401.90476190473</v>
      </c>
      <c r="O39" s="1">
        <v>296</v>
      </c>
      <c r="P39" s="4">
        <v>957443445750765</v>
      </c>
      <c r="Q39" s="5">
        <v>0.1</v>
      </c>
      <c r="R39" s="4">
        <v>4560044323706870</v>
      </c>
      <c r="T39" s="1">
        <f t="shared" si="0"/>
        <v>296</v>
      </c>
      <c r="U39" s="14">
        <v>5711948</v>
      </c>
    </row>
    <row r="40" spans="2:25" ht="17.25" thickBot="1">
      <c r="B40" s="1">
        <v>237</v>
      </c>
      <c r="C40" s="4">
        <v>80343120969</v>
      </c>
      <c r="D40" s="5">
        <v>0.03</v>
      </c>
      <c r="E40" s="10">
        <v>1043097111754</v>
      </c>
      <c r="G40" s="1">
        <f t="shared" si="2"/>
        <v>237</v>
      </c>
      <c r="H40" s="12">
        <f>468830/1.05</f>
        <v>446504.76190476189</v>
      </c>
      <c r="O40" s="1">
        <v>297</v>
      </c>
      <c r="P40" s="10">
        <v>1053187790325840</v>
      </c>
      <c r="Q40" s="5">
        <v>0.1</v>
      </c>
      <c r="R40" s="4">
        <v>5613232114032720</v>
      </c>
      <c r="T40" s="1">
        <f t="shared" si="0"/>
        <v>297</v>
      </c>
      <c r="U40" s="14">
        <v>5781080</v>
      </c>
    </row>
    <row r="41" spans="2:25" ht="17.25" thickBot="1">
      <c r="B41" s="1">
        <v>238</v>
      </c>
      <c r="C41" s="4">
        <v>82753414598</v>
      </c>
      <c r="D41" s="5">
        <v>0.03</v>
      </c>
      <c r="E41" s="4">
        <v>1125850526352</v>
      </c>
      <c r="G41" s="1">
        <f t="shared" si="2"/>
        <v>238</v>
      </c>
      <c r="H41" s="12">
        <f>477292/1.05</f>
        <v>454563.80952380953</v>
      </c>
      <c r="O41" s="1">
        <v>298</v>
      </c>
      <c r="P41" s="4">
        <v>1158506569358420</v>
      </c>
      <c r="Q41" s="5">
        <v>0.1</v>
      </c>
      <c r="R41" s="4">
        <v>6771738683391140</v>
      </c>
      <c r="T41" s="1">
        <f t="shared" si="0"/>
        <v>298</v>
      </c>
      <c r="U41" s="14">
        <v>5842650</v>
      </c>
    </row>
    <row r="42" spans="2:25" ht="17.25" thickBot="1">
      <c r="B42" s="1">
        <v>239</v>
      </c>
      <c r="C42" s="4">
        <v>85236017035</v>
      </c>
      <c r="D42" s="5">
        <v>0.03</v>
      </c>
      <c r="E42" s="4">
        <v>1211086543387</v>
      </c>
      <c r="G42" s="1">
        <f t="shared" si="2"/>
        <v>239</v>
      </c>
      <c r="H42" s="12">
        <f>508937/1.1</f>
        <v>462669.99999999994</v>
      </c>
      <c r="O42" s="1">
        <v>299</v>
      </c>
      <c r="P42" s="10">
        <v>1737759854037630</v>
      </c>
      <c r="Q42" s="5">
        <v>0.5</v>
      </c>
      <c r="R42" s="4">
        <v>8509498537428780</v>
      </c>
      <c r="T42" s="1">
        <f t="shared" si="0"/>
        <v>299</v>
      </c>
      <c r="U42" s="14">
        <v>5912186</v>
      </c>
      <c r="V42" s="102" t="s">
        <v>42</v>
      </c>
      <c r="W42" s="103"/>
      <c r="X42" s="12">
        <v>295</v>
      </c>
    </row>
    <row r="43" spans="2:25" ht="17.25" thickBot="1">
      <c r="B43" s="1">
        <v>240</v>
      </c>
      <c r="C43" s="10">
        <v>102283220442</v>
      </c>
      <c r="D43" s="5">
        <v>0.2</v>
      </c>
      <c r="E43" s="4">
        <v>1313369763829</v>
      </c>
      <c r="G43" s="1">
        <f t="shared" si="2"/>
        <v>240</v>
      </c>
      <c r="H43" s="12">
        <f>494365/1.05</f>
        <v>470823.80952380953</v>
      </c>
      <c r="I43" s="102" t="s">
        <v>43</v>
      </c>
      <c r="J43" s="103"/>
      <c r="K43" s="12">
        <v>225</v>
      </c>
    </row>
    <row r="44" spans="2:25" ht="18.75" thickBot="1">
      <c r="B44" s="1">
        <v>241</v>
      </c>
      <c r="C44" s="4">
        <v>105351717055</v>
      </c>
      <c r="D44" s="5">
        <v>0.03</v>
      </c>
      <c r="E44" s="4">
        <v>1418721480884</v>
      </c>
      <c r="G44" s="1">
        <f t="shared" si="2"/>
        <v>241</v>
      </c>
      <c r="H44" s="12">
        <f>509895/1.05</f>
        <v>485614.28571428568</v>
      </c>
      <c r="O44" s="101" t="s">
        <v>44</v>
      </c>
      <c r="P44" s="101"/>
      <c r="Q44" s="110" t="s">
        <v>45</v>
      </c>
      <c r="R44" s="110"/>
      <c r="S44" s="110"/>
      <c r="T44" s="111"/>
      <c r="V44" s="52" t="s">
        <v>46</v>
      </c>
      <c r="W44" s="53">
        <v>190</v>
      </c>
    </row>
    <row r="45" spans="2:25" ht="17.25" thickBot="1">
      <c r="B45" s="1">
        <v>242</v>
      </c>
      <c r="C45" s="4">
        <v>108512268566</v>
      </c>
      <c r="D45" s="5">
        <v>0.03</v>
      </c>
      <c r="E45" s="4">
        <v>1527233749450</v>
      </c>
      <c r="G45" s="1">
        <f t="shared" si="2"/>
        <v>242</v>
      </c>
      <c r="H45" s="12">
        <f>518706/1.05</f>
        <v>494005.71428571426</v>
      </c>
    </row>
    <row r="46" spans="2:25">
      <c r="B46" s="1">
        <v>243</v>
      </c>
      <c r="C46" s="4">
        <v>111767636622</v>
      </c>
      <c r="D46" s="5">
        <v>0.03</v>
      </c>
      <c r="E46" s="4">
        <v>1639001386072</v>
      </c>
      <c r="G46" s="1">
        <f t="shared" si="2"/>
        <v>243</v>
      </c>
      <c r="H46" s="12">
        <f>526534/1.05</f>
        <v>501460.95238095237</v>
      </c>
      <c r="O46" s="101" t="s">
        <v>47</v>
      </c>
      <c r="P46" s="101"/>
      <c r="Q46" s="52" t="s">
        <v>48</v>
      </c>
      <c r="R46" s="101" t="s">
        <v>49</v>
      </c>
      <c r="S46" s="101"/>
      <c r="T46" s="101"/>
      <c r="U46" s="101" t="s">
        <v>50</v>
      </c>
      <c r="V46" s="101"/>
      <c r="W46" s="101" t="s">
        <v>51</v>
      </c>
      <c r="X46" s="101"/>
      <c r="Y46" s="101"/>
    </row>
    <row r="47" spans="2:25" ht="17.25" customHeight="1">
      <c r="B47" s="1">
        <v>244</v>
      </c>
      <c r="C47" s="4">
        <v>115120665720</v>
      </c>
      <c r="D47" s="5">
        <v>0.03</v>
      </c>
      <c r="E47" s="4">
        <v>1754122051792</v>
      </c>
      <c r="G47" s="1">
        <f t="shared" si="2"/>
        <v>244</v>
      </c>
      <c r="H47" s="50">
        <f>535462/1.05</f>
        <v>509963.80952380953</v>
      </c>
      <c r="I47" s="106" t="s">
        <v>52</v>
      </c>
      <c r="J47" s="107"/>
      <c r="K47" s="42">
        <v>230</v>
      </c>
      <c r="O47" s="101" t="s">
        <v>53</v>
      </c>
      <c r="P47" s="101"/>
      <c r="Q47" s="53" t="s">
        <v>54</v>
      </c>
      <c r="R47" s="100">
        <v>10</v>
      </c>
      <c r="S47" s="100"/>
      <c r="T47" s="100"/>
      <c r="U47" s="100">
        <v>10</v>
      </c>
      <c r="V47" s="100"/>
      <c r="W47" s="100" t="s">
        <v>55</v>
      </c>
      <c r="X47" s="100"/>
      <c r="Y47" s="100"/>
    </row>
    <row r="48" spans="2:25" ht="17.25" customHeight="1">
      <c r="B48" s="1">
        <v>245</v>
      </c>
      <c r="C48" s="4">
        <v>138144798864</v>
      </c>
      <c r="D48" s="5">
        <v>0.2</v>
      </c>
      <c r="E48" s="4">
        <v>1892266850656</v>
      </c>
      <c r="G48" s="1">
        <f t="shared" si="2"/>
        <v>245</v>
      </c>
      <c r="H48" s="12">
        <f>518511</f>
        <v>518511</v>
      </c>
      <c r="O48" s="101" t="s">
        <v>56</v>
      </c>
      <c r="P48" s="101"/>
      <c r="Q48" s="53" t="s">
        <v>57</v>
      </c>
      <c r="R48" s="100">
        <v>10</v>
      </c>
      <c r="S48" s="100"/>
      <c r="T48" s="100"/>
      <c r="U48" s="100" t="s">
        <v>39</v>
      </c>
      <c r="V48" s="100"/>
      <c r="W48" s="100" t="s">
        <v>55</v>
      </c>
      <c r="X48" s="100"/>
      <c r="Y48" s="100"/>
    </row>
    <row r="49" spans="1:25">
      <c r="B49" s="1">
        <v>246</v>
      </c>
      <c r="C49" s="4">
        <v>142289142829</v>
      </c>
      <c r="D49" s="5">
        <v>0.03</v>
      </c>
      <c r="E49" s="4">
        <v>2034555993485</v>
      </c>
      <c r="G49" s="1">
        <f t="shared" si="2"/>
        <v>246</v>
      </c>
      <c r="H49" s="12">
        <f>553461/1.05</f>
        <v>527105.71428571432</v>
      </c>
      <c r="O49" s="101" t="s">
        <v>58</v>
      </c>
      <c r="P49" s="101"/>
      <c r="Q49" s="53" t="s">
        <v>54</v>
      </c>
      <c r="R49" s="100">
        <v>10</v>
      </c>
      <c r="S49" s="100"/>
      <c r="T49" s="100"/>
      <c r="U49" s="100">
        <v>10</v>
      </c>
      <c r="V49" s="100"/>
      <c r="W49" s="100" t="s">
        <v>55</v>
      </c>
      <c r="X49" s="100"/>
      <c r="Y49" s="100"/>
    </row>
    <row r="50" spans="1:25" ht="17.25" thickBot="1">
      <c r="B50" s="1">
        <v>247</v>
      </c>
      <c r="C50" s="4">
        <v>146557817113</v>
      </c>
      <c r="D50" s="5">
        <v>0.03</v>
      </c>
      <c r="E50" s="4">
        <v>2181113810598</v>
      </c>
      <c r="G50" s="1">
        <f t="shared" si="2"/>
        <v>247</v>
      </c>
      <c r="H50" s="12">
        <f>562536/1.05</f>
        <v>535748.57142857136</v>
      </c>
      <c r="O50" s="101" t="s">
        <v>59</v>
      </c>
      <c r="P50" s="101"/>
      <c r="Q50" s="53" t="s">
        <v>54</v>
      </c>
      <c r="R50" s="100">
        <v>200</v>
      </c>
      <c r="S50" s="100"/>
      <c r="T50" s="100"/>
      <c r="U50" s="100">
        <v>1</v>
      </c>
      <c r="V50" s="100"/>
      <c r="W50" s="100" t="s">
        <v>55</v>
      </c>
      <c r="X50" s="100"/>
      <c r="Y50" s="100"/>
    </row>
    <row r="51" spans="1:25" ht="17.25" thickBot="1">
      <c r="B51" s="1">
        <v>248</v>
      </c>
      <c r="C51" s="4">
        <v>150954551626</v>
      </c>
      <c r="D51" s="5">
        <v>0.03</v>
      </c>
      <c r="E51" s="4">
        <v>2332068362224</v>
      </c>
      <c r="G51" s="1">
        <f t="shared" si="2"/>
        <v>248</v>
      </c>
      <c r="H51" s="12">
        <f>571682/1.05</f>
        <v>544459.04761904757</v>
      </c>
      <c r="O51" s="101" t="s">
        <v>60</v>
      </c>
      <c r="P51" s="101"/>
      <c r="Q51" s="53" t="s">
        <v>61</v>
      </c>
      <c r="R51" s="100" t="s">
        <v>62</v>
      </c>
      <c r="S51" s="100"/>
      <c r="T51" s="100"/>
      <c r="U51" s="100" t="s">
        <v>39</v>
      </c>
      <c r="V51" s="100"/>
      <c r="W51" s="100" t="s">
        <v>63</v>
      </c>
      <c r="X51" s="100"/>
      <c r="Y51" s="100"/>
    </row>
    <row r="52" spans="1:25" ht="17.25" thickBot="1">
      <c r="A52" s="15"/>
      <c r="B52" s="1">
        <v>249</v>
      </c>
      <c r="C52" s="4">
        <v>155483188174</v>
      </c>
      <c r="D52" s="5">
        <v>0.03</v>
      </c>
      <c r="E52" s="4">
        <v>2487551550398</v>
      </c>
      <c r="G52" s="1">
        <f t="shared" si="2"/>
        <v>249</v>
      </c>
      <c r="H52" s="12">
        <f>580878/1.05</f>
        <v>553217.14285714284</v>
      </c>
      <c r="I52" s="102" t="s">
        <v>64</v>
      </c>
      <c r="J52" s="103"/>
      <c r="K52" s="12">
        <v>235</v>
      </c>
      <c r="O52" s="101" t="s">
        <v>8</v>
      </c>
      <c r="P52" s="101"/>
      <c r="Q52" s="53" t="s">
        <v>65</v>
      </c>
      <c r="R52" s="100">
        <v>470</v>
      </c>
      <c r="S52" s="100"/>
      <c r="T52" s="100"/>
      <c r="U52" s="100" t="s">
        <v>66</v>
      </c>
      <c r="V52" s="100"/>
      <c r="W52" s="100" t="s">
        <v>63</v>
      </c>
      <c r="X52" s="100"/>
      <c r="Y52" s="100"/>
    </row>
    <row r="53" spans="1:25" ht="17.25" thickBot="1">
      <c r="A53" s="15"/>
      <c r="B53" s="1">
        <v>250</v>
      </c>
      <c r="C53" s="4">
        <v>186579825808</v>
      </c>
      <c r="D53" s="5">
        <v>0.2</v>
      </c>
      <c r="E53" s="4">
        <v>2674131376206</v>
      </c>
      <c r="G53" s="1">
        <f t="shared" si="2"/>
        <v>250</v>
      </c>
      <c r="H53" s="12">
        <f>584807</f>
        <v>584807</v>
      </c>
      <c r="P53" s="15"/>
    </row>
    <row r="54" spans="1:25" ht="17.25" thickBot="1">
      <c r="A54" s="15"/>
      <c r="B54" s="1">
        <v>251</v>
      </c>
      <c r="C54" s="4">
        <v>192177220582</v>
      </c>
      <c r="D54" s="5">
        <v>0.03</v>
      </c>
      <c r="E54" s="4">
        <v>2866308596788</v>
      </c>
      <c r="G54" s="1">
        <f t="shared" si="2"/>
        <v>251</v>
      </c>
      <c r="H54" s="12">
        <f>623742/1.05</f>
        <v>594040</v>
      </c>
      <c r="I54" s="102" t="s">
        <v>67</v>
      </c>
      <c r="J54" s="103"/>
      <c r="K54" s="12">
        <v>240</v>
      </c>
      <c r="P54" s="15"/>
      <c r="Q54" s="15"/>
      <c r="R54" s="15"/>
      <c r="S54" s="15"/>
      <c r="T54" s="15"/>
      <c r="U54" s="15"/>
      <c r="V54" s="15"/>
      <c r="W54" s="15"/>
    </row>
    <row r="55" spans="1:25" ht="17.25" thickBot="1">
      <c r="A55" s="15"/>
      <c r="B55" s="1">
        <v>252</v>
      </c>
      <c r="C55" s="4">
        <v>197942537199</v>
      </c>
      <c r="D55" s="5">
        <v>0.03</v>
      </c>
      <c r="E55" s="4">
        <v>3064251133987</v>
      </c>
      <c r="G55" s="1">
        <f t="shared" si="2"/>
        <v>252</v>
      </c>
      <c r="H55" s="12">
        <f>663650/1.1</f>
        <v>603318.18181818177</v>
      </c>
      <c r="P55" s="15"/>
      <c r="Q55" s="15"/>
      <c r="R55" s="15"/>
      <c r="S55" s="15"/>
      <c r="T55" s="15"/>
      <c r="U55" s="15"/>
      <c r="V55" s="15"/>
      <c r="W55" s="15"/>
    </row>
    <row r="56" spans="1:25" ht="17.25" thickBot="1">
      <c r="A56" s="15"/>
      <c r="B56" s="1">
        <v>253</v>
      </c>
      <c r="C56" s="4">
        <v>203880813314</v>
      </c>
      <c r="D56" s="5">
        <v>0.03</v>
      </c>
      <c r="E56" s="4">
        <v>3268131947301</v>
      </c>
      <c r="G56" s="1">
        <f t="shared" si="2"/>
        <v>253</v>
      </c>
      <c r="H56" s="12">
        <f>673907/1.1</f>
        <v>612642.72727272718</v>
      </c>
      <c r="P56" s="15"/>
      <c r="Q56" s="15"/>
      <c r="R56" s="15"/>
      <c r="S56" s="15"/>
      <c r="T56" s="15"/>
      <c r="U56" s="15"/>
      <c r="V56" s="15"/>
      <c r="W56" s="15"/>
    </row>
    <row r="57" spans="1:25" ht="17.25" thickBot="1">
      <c r="A57" s="15"/>
      <c r="B57" s="1">
        <v>254</v>
      </c>
      <c r="C57" s="4">
        <v>209997237713</v>
      </c>
      <c r="D57" s="5">
        <v>0.03</v>
      </c>
      <c r="E57" s="4">
        <v>3478129185014</v>
      </c>
      <c r="G57" s="1">
        <f t="shared" si="2"/>
        <v>254</v>
      </c>
      <c r="H57" s="12">
        <f>684245/1.1</f>
        <v>622040.90909090906</v>
      </c>
      <c r="I57" s="102" t="s">
        <v>68</v>
      </c>
      <c r="J57" s="103"/>
      <c r="K57" s="12">
        <v>245</v>
      </c>
      <c r="P57" s="15"/>
      <c r="Q57" s="15"/>
      <c r="R57" s="15"/>
      <c r="S57" s="15"/>
      <c r="T57" s="15"/>
      <c r="U57" s="15"/>
      <c r="V57" s="15"/>
      <c r="W57" s="15"/>
    </row>
    <row r="58" spans="1:25" ht="17.25" thickBot="1">
      <c r="A58" s="15"/>
      <c r="B58" s="1">
        <v>255</v>
      </c>
      <c r="C58" s="4">
        <v>216297154844</v>
      </c>
      <c r="D58" s="5">
        <v>0.03</v>
      </c>
      <c r="E58" s="4">
        <v>3694426339858</v>
      </c>
      <c r="G58" s="1">
        <f t="shared" si="2"/>
        <v>255</v>
      </c>
      <c r="H58" s="12">
        <f>757750/1.2</f>
        <v>631458.33333333337</v>
      </c>
      <c r="P58" s="15"/>
      <c r="Q58" s="15"/>
      <c r="R58" s="15"/>
      <c r="S58" s="15"/>
      <c r="T58" s="15"/>
      <c r="U58" s="15"/>
      <c r="V58" s="15"/>
      <c r="W58" s="15"/>
    </row>
    <row r="59" spans="1:25" ht="17.25" thickBot="1">
      <c r="A59" s="15"/>
      <c r="B59" s="1">
        <v>256</v>
      </c>
      <c r="C59" s="4">
        <v>222786069489</v>
      </c>
      <c r="D59" s="5">
        <v>0.03</v>
      </c>
      <c r="E59" s="4">
        <v>3917212409347</v>
      </c>
      <c r="G59" s="1">
        <f t="shared" si="2"/>
        <v>256</v>
      </c>
      <c r="H59" s="12">
        <f>769165/1.2</f>
        <v>640970.83333333337</v>
      </c>
      <c r="P59" s="15"/>
      <c r="Q59" s="15"/>
      <c r="R59" s="15"/>
      <c r="S59" s="15"/>
      <c r="T59" s="15"/>
      <c r="U59" s="15"/>
      <c r="V59" s="15"/>
      <c r="W59" s="15"/>
    </row>
    <row r="60" spans="1:25" ht="17.25" thickBot="1">
      <c r="B60" s="1">
        <v>257</v>
      </c>
      <c r="C60" s="4">
        <v>229469651573</v>
      </c>
      <c r="D60" s="5">
        <v>0.03</v>
      </c>
      <c r="E60" s="4">
        <v>4146682060920</v>
      </c>
      <c r="G60" s="1">
        <f t="shared" si="2"/>
        <v>257</v>
      </c>
      <c r="H60" s="12">
        <f>715554/1.1</f>
        <v>650503.63636363635</v>
      </c>
    </row>
    <row r="61" spans="1:25" ht="17.25" thickBot="1">
      <c r="B61" s="1">
        <v>258</v>
      </c>
      <c r="C61" s="4">
        <v>236353741120</v>
      </c>
      <c r="D61" s="5">
        <v>0.03</v>
      </c>
      <c r="E61" s="4">
        <v>4383035802040</v>
      </c>
      <c r="G61" s="1">
        <f t="shared" si="2"/>
        <v>258</v>
      </c>
      <c r="H61" s="12">
        <f>727387/1.1</f>
        <v>661260.90909090906</v>
      </c>
    </row>
    <row r="62" spans="1:25" ht="17.25" thickBot="1">
      <c r="B62" s="1">
        <v>259</v>
      </c>
      <c r="C62" s="10">
        <v>243444353353</v>
      </c>
      <c r="D62" s="5">
        <v>0.03</v>
      </c>
      <c r="E62" s="10">
        <v>4626480155393</v>
      </c>
      <c r="G62" s="1">
        <f t="shared" si="2"/>
        <v>259</v>
      </c>
      <c r="H62" s="12">
        <f>738034/1.1</f>
        <v>670940</v>
      </c>
      <c r="I62" s="102" t="s">
        <v>69</v>
      </c>
      <c r="J62" s="103"/>
      <c r="K62" s="12">
        <v>250</v>
      </c>
    </row>
    <row r="63" spans="1:25" ht="17.25" thickBot="1">
      <c r="G63" s="1">
        <v>260</v>
      </c>
      <c r="H63" s="13">
        <f>714670/1.05</f>
        <v>680638.09523809527</v>
      </c>
    </row>
    <row r="64" spans="1:25" ht="17.25" thickBot="1">
      <c r="G64" s="1">
        <v>261</v>
      </c>
      <c r="H64" s="13">
        <f>724954/1.05</f>
        <v>690432.38095238095</v>
      </c>
    </row>
    <row r="65" spans="3:13" ht="17.25" thickBot="1">
      <c r="C65" s="33"/>
      <c r="G65" s="1">
        <v>262</v>
      </c>
      <c r="H65" s="13">
        <f>735254/1.05</f>
        <v>700241.90476190473</v>
      </c>
    </row>
    <row r="66" spans="3:13" ht="17.25" thickBot="1">
      <c r="G66" s="1">
        <v>263</v>
      </c>
      <c r="H66" s="13">
        <f>894752/1.05</f>
        <v>852144.76190476189</v>
      </c>
      <c r="I66" s="13">
        <v>710121</v>
      </c>
      <c r="J66" s="102" t="s">
        <v>70</v>
      </c>
      <c r="K66" s="103"/>
      <c r="L66" s="12">
        <v>255</v>
      </c>
    </row>
    <row r="67" spans="3:13" ht="17.25" thickBot="1">
      <c r="G67" s="1">
        <v>264</v>
      </c>
      <c r="H67" s="13">
        <f>908771/1.05</f>
        <v>865496.19047619042</v>
      </c>
      <c r="I67" s="13">
        <v>721247</v>
      </c>
      <c r="J67" s="102" t="s">
        <v>71</v>
      </c>
      <c r="K67" s="103"/>
      <c r="L67" s="12">
        <v>255</v>
      </c>
      <c r="M67" s="12">
        <v>255</v>
      </c>
    </row>
    <row r="68" spans="3:13">
      <c r="J68" s="33"/>
    </row>
  </sheetData>
  <sheetProtection sheet="1" objects="1" scenarios="1"/>
  <mergeCells count="52">
    <mergeCell ref="I47:J47"/>
    <mergeCell ref="I2:J2"/>
    <mergeCell ref="V2:W2"/>
    <mergeCell ref="J66:K66"/>
    <mergeCell ref="V7:W7"/>
    <mergeCell ref="Q44:T44"/>
    <mergeCell ref="I52:J52"/>
    <mergeCell ref="V37:W37"/>
    <mergeCell ref="O46:P46"/>
    <mergeCell ref="R46:T46"/>
    <mergeCell ref="U46:V46"/>
    <mergeCell ref="W46:Y46"/>
    <mergeCell ref="O52:P52"/>
    <mergeCell ref="R52:T52"/>
    <mergeCell ref="U52:V52"/>
    <mergeCell ref="R50:T50"/>
    <mergeCell ref="J67:K67"/>
    <mergeCell ref="V12:W12"/>
    <mergeCell ref="I43:J43"/>
    <mergeCell ref="I16:J16"/>
    <mergeCell ref="V17:W17"/>
    <mergeCell ref="V22:W22"/>
    <mergeCell ref="I23:J23"/>
    <mergeCell ref="I54:J54"/>
    <mergeCell ref="I57:J57"/>
    <mergeCell ref="V27:W27"/>
    <mergeCell ref="I22:J22"/>
    <mergeCell ref="I62:J62"/>
    <mergeCell ref="V32:W32"/>
    <mergeCell ref="O44:P44"/>
    <mergeCell ref="W49:Y49"/>
    <mergeCell ref="I30:J30"/>
    <mergeCell ref="W52:Y52"/>
    <mergeCell ref="O51:P51"/>
    <mergeCell ref="R51:T51"/>
    <mergeCell ref="U51:V51"/>
    <mergeCell ref="W51:Y51"/>
    <mergeCell ref="U49:V49"/>
    <mergeCell ref="O50:P50"/>
    <mergeCell ref="U50:V50"/>
    <mergeCell ref="W50:Y50"/>
    <mergeCell ref="V42:W42"/>
    <mergeCell ref="O47:P47"/>
    <mergeCell ref="R47:T47"/>
    <mergeCell ref="U47:V47"/>
    <mergeCell ref="W47:Y47"/>
    <mergeCell ref="O48:P48"/>
    <mergeCell ref="R48:T48"/>
    <mergeCell ref="U48:V48"/>
    <mergeCell ref="W48:Y48"/>
    <mergeCell ref="O49:P49"/>
    <mergeCell ref="R49:T49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C2ED-D24C-4A80-934E-2B0D1534FC72}">
  <dimension ref="B2:T42"/>
  <sheetViews>
    <sheetView zoomScale="70" zoomScaleNormal="70" workbookViewId="0">
      <selection activeCell="X25" sqref="X25"/>
    </sheetView>
  </sheetViews>
  <sheetFormatPr defaultRowHeight="16.5"/>
  <cols>
    <col min="1" max="2" width="9" style="9"/>
    <col min="3" max="3" width="14.125" style="9" bestFit="1" customWidth="1"/>
    <col min="4" max="5" width="9" style="9"/>
    <col min="6" max="6" width="14.125" style="9" bestFit="1" customWidth="1"/>
    <col min="7" max="7" width="9" style="9"/>
    <col min="8" max="8" width="11.625" style="9" bestFit="1" customWidth="1"/>
    <col min="9" max="9" width="12.125" style="9" bestFit="1" customWidth="1"/>
    <col min="10" max="10" width="9" style="9"/>
    <col min="11" max="11" width="11.125" style="9" bestFit="1" customWidth="1"/>
    <col min="12" max="12" width="15.625" style="9" bestFit="1" customWidth="1"/>
    <col min="13" max="13" width="9.5" style="9" bestFit="1" customWidth="1"/>
    <col min="14" max="14" width="9" style="9"/>
    <col min="15" max="15" width="9.5" style="9" bestFit="1" customWidth="1"/>
    <col min="16" max="16" width="14.375" style="9" bestFit="1" customWidth="1"/>
    <col min="17" max="16384" width="9" style="9"/>
  </cols>
  <sheetData>
    <row r="2" spans="2:20" ht="17.25">
      <c r="B2" s="17" t="s">
        <v>72</v>
      </c>
      <c r="C2" s="18" t="s">
        <v>73</v>
      </c>
      <c r="D2" s="30"/>
      <c r="E2" s="19" t="s">
        <v>74</v>
      </c>
      <c r="F2" s="19" t="s">
        <v>11</v>
      </c>
      <c r="G2" s="30"/>
      <c r="H2" s="20" t="s">
        <v>75</v>
      </c>
      <c r="I2" s="20" t="s">
        <v>76</v>
      </c>
      <c r="J2" s="31"/>
      <c r="K2" s="21" t="s">
        <v>77</v>
      </c>
      <c r="L2" s="21" t="s">
        <v>11</v>
      </c>
      <c r="M2" s="21" t="s">
        <v>78</v>
      </c>
      <c r="N2" s="31"/>
      <c r="O2" s="21" t="s">
        <v>79</v>
      </c>
      <c r="P2" s="21" t="s">
        <v>80</v>
      </c>
      <c r="R2" s="112" t="s">
        <v>60</v>
      </c>
      <c r="S2" s="112"/>
    </row>
    <row r="3" spans="2:20" ht="17.25">
      <c r="B3" s="22">
        <v>260</v>
      </c>
      <c r="C3" s="23">
        <v>157362035040</v>
      </c>
      <c r="D3" s="30"/>
      <c r="E3" s="24" t="s">
        <v>81</v>
      </c>
      <c r="F3" s="25">
        <v>37474604460</v>
      </c>
      <c r="G3" s="30"/>
      <c r="H3" s="22">
        <v>260</v>
      </c>
      <c r="I3" s="26">
        <v>388229000</v>
      </c>
      <c r="J3" s="31"/>
      <c r="K3" s="27">
        <v>280</v>
      </c>
      <c r="L3" s="28">
        <f>'200이상'!U23*$S$13*$T$13</f>
        <v>3265600060800</v>
      </c>
      <c r="M3" s="29">
        <f>L3/'[1]경험치 정보'!C23</f>
        <v>9.7052981221283807E-2</v>
      </c>
      <c r="N3" s="31"/>
      <c r="O3" s="27">
        <v>260</v>
      </c>
      <c r="P3" s="25">
        <f>ROUND('[1]경험치 정보'!I3*192,0)</f>
        <v>331288512</v>
      </c>
      <c r="R3" s="52" t="s">
        <v>82</v>
      </c>
      <c r="S3" s="52" t="s">
        <v>83</v>
      </c>
    </row>
    <row r="4" spans="2:20" ht="17.25">
      <c r="B4" s="22">
        <v>261</v>
      </c>
      <c r="C4" s="23">
        <v>159626439360</v>
      </c>
      <c r="D4" s="30"/>
      <c r="E4" s="24" t="s">
        <v>84</v>
      </c>
      <c r="F4" s="28">
        <v>44435446300</v>
      </c>
      <c r="G4" s="30"/>
      <c r="H4" s="22">
        <v>261</v>
      </c>
      <c r="I4" s="26">
        <v>393816000</v>
      </c>
      <c r="J4" s="31"/>
      <c r="K4" s="27">
        <v>281</v>
      </c>
      <c r="L4" s="28">
        <f>'200이상'!U24*$S$13*$T$13</f>
        <v>3310161465600</v>
      </c>
      <c r="M4" s="29">
        <f>L4/'[1]경험치 정보'!C24</f>
        <v>8.9433942969955771E-2</v>
      </c>
      <c r="N4" s="31"/>
      <c r="O4" s="27">
        <v>261</v>
      </c>
      <c r="P4" s="25">
        <f>ROUND('[1]경험치 정보'!I4*192,0)</f>
        <v>336055680</v>
      </c>
      <c r="R4" s="52" t="s">
        <v>85</v>
      </c>
      <c r="S4" s="53">
        <v>192</v>
      </c>
    </row>
    <row r="5" spans="2:20" ht="17.25">
      <c r="B5" s="22">
        <v>262</v>
      </c>
      <c r="C5" s="23">
        <v>161894491920</v>
      </c>
      <c r="D5" s="30"/>
      <c r="E5" s="24" t="s">
        <v>86</v>
      </c>
      <c r="F5" s="28">
        <v>52818835200</v>
      </c>
      <c r="G5" s="30"/>
      <c r="H5" s="22">
        <v>262</v>
      </c>
      <c r="I5" s="26">
        <v>399411000</v>
      </c>
      <c r="J5" s="31"/>
      <c r="K5" s="27">
        <v>282</v>
      </c>
      <c r="L5" s="28">
        <f>'200이상'!U25*$S$13*$T$13</f>
        <v>3349939507200</v>
      </c>
      <c r="M5" s="29">
        <f>L5/'[1]경험치 정보'!C25</f>
        <v>8.228060554892877E-2</v>
      </c>
      <c r="N5" s="31"/>
      <c r="O5" s="27">
        <v>262</v>
      </c>
      <c r="P5" s="25">
        <f>ROUND('[1]경험치 정보'!I5*192,0)</f>
        <v>340830528</v>
      </c>
      <c r="R5" s="52" t="s">
        <v>87</v>
      </c>
      <c r="S5" s="53">
        <v>220.8</v>
      </c>
    </row>
    <row r="6" spans="2:20" ht="17.25">
      <c r="B6" s="22">
        <v>263</v>
      </c>
      <c r="C6" s="23">
        <v>164178504720</v>
      </c>
      <c r="D6" s="30"/>
      <c r="E6" s="24" t="s">
        <v>88</v>
      </c>
      <c r="F6" s="28">
        <v>76639838000</v>
      </c>
      <c r="G6" s="30"/>
      <c r="H6" s="22">
        <v>263</v>
      </c>
      <c r="I6" s="26">
        <v>405046000</v>
      </c>
      <c r="J6" s="31"/>
      <c r="K6" s="27">
        <v>283</v>
      </c>
      <c r="L6" s="28">
        <f>'200이상'!U26*$S$13*$T$13</f>
        <v>3394838304000</v>
      </c>
      <c r="M6" s="29">
        <f>L6/'[1]경험치 정보'!C26</f>
        <v>7.5803092398714397E-2</v>
      </c>
      <c r="N6" s="31"/>
      <c r="O6" s="27">
        <v>263</v>
      </c>
      <c r="P6" s="25">
        <f>ROUND('[1]경험치 정보'!I6*192,0)</f>
        <v>345638976</v>
      </c>
      <c r="R6" s="52" t="s">
        <v>89</v>
      </c>
      <c r="S6" s="53">
        <v>268.8</v>
      </c>
    </row>
    <row r="7" spans="2:20" ht="17.25">
      <c r="B7" s="22">
        <v>264</v>
      </c>
      <c r="C7" s="23">
        <v>166750891920</v>
      </c>
      <c r="D7" s="30"/>
      <c r="E7" s="24" t="s">
        <v>90</v>
      </c>
      <c r="F7" s="28">
        <v>107204032000</v>
      </c>
      <c r="G7" s="30"/>
      <c r="H7" s="22">
        <v>264</v>
      </c>
      <c r="I7" s="26">
        <v>411393000</v>
      </c>
      <c r="J7" s="31"/>
      <c r="K7" s="27">
        <v>284</v>
      </c>
      <c r="L7" s="28">
        <f>'200이상'!U27*$S$13*$T$13</f>
        <v>3435009811200</v>
      </c>
      <c r="M7" s="29">
        <f>L7/'[1]경험치 정보'!C27</f>
        <v>6.972734454541768E-2</v>
      </c>
      <c r="N7" s="31"/>
      <c r="O7" s="27">
        <v>264</v>
      </c>
      <c r="P7" s="25">
        <f>ROUND('[1]경험치 정보'!I7*192,0)</f>
        <v>351054528</v>
      </c>
      <c r="R7" s="52" t="s">
        <v>91</v>
      </c>
      <c r="S7" s="53">
        <v>240</v>
      </c>
    </row>
    <row r="8" spans="2:20" ht="17.25">
      <c r="B8" s="22">
        <v>265</v>
      </c>
      <c r="C8" s="23">
        <v>187596018720</v>
      </c>
      <c r="D8" s="30"/>
      <c r="E8" s="24" t="s">
        <v>92</v>
      </c>
      <c r="F8" s="28">
        <v>156017856000</v>
      </c>
      <c r="G8" s="30"/>
      <c r="H8" s="22">
        <v>265</v>
      </c>
      <c r="I8" s="26">
        <v>462820000</v>
      </c>
      <c r="J8" s="31"/>
      <c r="K8" s="27">
        <v>285</v>
      </c>
      <c r="L8" s="28">
        <f>'200이상'!U28*$S$14*$T$13</f>
        <v>5148589248000</v>
      </c>
      <c r="M8" s="29">
        <f>L8/'[1]경험치 정보'!C28</f>
        <v>5.173828397776721E-2</v>
      </c>
      <c r="N8" s="31"/>
      <c r="O8" s="27">
        <v>265</v>
      </c>
      <c r="P8" s="25">
        <f>ROUND('[1]경험치 정보'!I8*220.8,0)</f>
        <v>454179859</v>
      </c>
      <c r="R8" s="52" t="s">
        <v>93</v>
      </c>
      <c r="S8" s="53">
        <v>220.8</v>
      </c>
    </row>
    <row r="9" spans="2:20" ht="17.25">
      <c r="B9" s="22">
        <v>266</v>
      </c>
      <c r="C9" s="23">
        <v>190171962720</v>
      </c>
      <c r="D9" s="30"/>
      <c r="E9" s="24" t="s">
        <v>94</v>
      </c>
      <c r="F9" s="28">
        <v>218575316000</v>
      </c>
      <c r="G9" s="30"/>
      <c r="H9" s="22">
        <v>266</v>
      </c>
      <c r="I9" s="26">
        <v>469175000</v>
      </c>
      <c r="J9" s="31"/>
      <c r="K9" s="27">
        <v>286</v>
      </c>
      <c r="L9" s="28">
        <f>'200이상'!U29*$S$14*$T$13</f>
        <v>5208577228800</v>
      </c>
      <c r="M9" s="29">
        <f>L9/'[1]경험치 정보'!C29</f>
        <v>4.7582822259774608E-2</v>
      </c>
      <c r="N9" s="31"/>
      <c r="O9" s="27">
        <v>266</v>
      </c>
      <c r="P9" s="25">
        <f>ROUND('[1]경험치 정보'!I9*220.8,0)</f>
        <v>460416355</v>
      </c>
    </row>
    <row r="10" spans="2:20" ht="17.25">
      <c r="B10" s="22">
        <v>267</v>
      </c>
      <c r="C10" s="23">
        <v>192757756320</v>
      </c>
      <c r="D10" s="30"/>
      <c r="E10" s="30"/>
      <c r="F10" s="30"/>
      <c r="G10" s="30"/>
      <c r="H10" s="22">
        <v>267</v>
      </c>
      <c r="I10" s="26">
        <v>475554000</v>
      </c>
      <c r="J10" s="31"/>
      <c r="K10" s="27">
        <v>287</v>
      </c>
      <c r="L10" s="28">
        <f>'200이상'!U30*$S$14*$T$13</f>
        <v>5276305267200</v>
      </c>
      <c r="M10" s="29">
        <f>L10/'[1]경험치 정보'!C30</f>
        <v>4.3819590908152968E-2</v>
      </c>
      <c r="N10" s="31"/>
      <c r="O10" s="27">
        <v>267</v>
      </c>
      <c r="P10" s="25">
        <f>ROUND('[1]경험치 정보'!I10*220.8,0)</f>
        <v>466676698</v>
      </c>
    </row>
    <row r="11" spans="2:20" ht="17.25">
      <c r="B11" s="22">
        <v>268</v>
      </c>
      <c r="C11" s="23">
        <v>195678344880</v>
      </c>
      <c r="D11" s="30"/>
      <c r="E11" s="30"/>
      <c r="F11" s="30"/>
      <c r="G11" s="30"/>
      <c r="H11" s="22">
        <v>268</v>
      </c>
      <c r="I11" s="26">
        <v>482760000</v>
      </c>
      <c r="J11" s="31"/>
      <c r="K11" s="27">
        <v>288</v>
      </c>
      <c r="L11" s="28">
        <f>'200이상'!U31*$S$14*$T$13</f>
        <v>5344448947200</v>
      </c>
      <c r="M11" s="29">
        <f>L11/'[1]경험치 정보'!C31</f>
        <v>4.0350475058863376E-2</v>
      </c>
      <c r="N11" s="31"/>
      <c r="O11" s="27">
        <v>268</v>
      </c>
      <c r="P11" s="25">
        <f>ROUND('[1]경험치 정보'!I11*220.8,0)</f>
        <v>473747597</v>
      </c>
      <c r="R11" s="113" t="s">
        <v>95</v>
      </c>
      <c r="S11" s="114"/>
      <c r="T11" s="115"/>
    </row>
    <row r="12" spans="2:20" ht="17.25">
      <c r="B12" s="22">
        <v>269</v>
      </c>
      <c r="C12" s="23">
        <v>198293778720</v>
      </c>
      <c r="D12" s="30"/>
      <c r="E12" s="30"/>
      <c r="F12" s="30"/>
      <c r="G12" s="30"/>
      <c r="H12" s="22">
        <v>269</v>
      </c>
      <c r="I12" s="26">
        <v>489212000</v>
      </c>
      <c r="J12" s="31"/>
      <c r="K12" s="27">
        <v>289</v>
      </c>
      <c r="L12" s="28">
        <f>'200이상'!U32*$S$14*$T$13</f>
        <v>5405227660800</v>
      </c>
      <c r="M12" s="29">
        <f>L12/'[1]경험치 정보'!C32</f>
        <v>3.7099411858636099E-2</v>
      </c>
      <c r="N12" s="31"/>
      <c r="O12" s="27">
        <v>269</v>
      </c>
      <c r="P12" s="25">
        <f>ROUND('[1]경험치 정보'!I12*220.8,0)</f>
        <v>480079699</v>
      </c>
      <c r="R12" s="32" t="s">
        <v>82</v>
      </c>
      <c r="S12" s="32" t="s">
        <v>83</v>
      </c>
      <c r="T12" s="32" t="s">
        <v>96</v>
      </c>
    </row>
    <row r="13" spans="2:20" ht="17.25">
      <c r="B13" s="22">
        <v>270</v>
      </c>
      <c r="C13" s="23">
        <v>223003778400</v>
      </c>
      <c r="D13" s="30"/>
      <c r="E13" s="30"/>
      <c r="F13" s="30"/>
      <c r="G13" s="30"/>
      <c r="H13" s="22">
        <v>270</v>
      </c>
      <c r="I13" s="26">
        <v>550174000</v>
      </c>
      <c r="J13" s="31"/>
      <c r="K13" s="27">
        <v>290</v>
      </c>
      <c r="L13" s="28">
        <f>'200이상'!U33*$S$15*$T$13</f>
        <v>6580266950400</v>
      </c>
      <c r="M13" s="29">
        <f>L13/'[1]경험치 정보'!C33</f>
        <v>2.2358629391751653E-2</v>
      </c>
      <c r="N13" s="31"/>
      <c r="O13" s="27">
        <v>270</v>
      </c>
      <c r="P13" s="25">
        <f>ROUND('[1]경험치 정보'!I13*268.8,0)</f>
        <v>657274330</v>
      </c>
      <c r="R13" s="52" t="s">
        <v>97</v>
      </c>
      <c r="S13" s="53">
        <v>99</v>
      </c>
      <c r="T13" s="54">
        <v>9600</v>
      </c>
    </row>
    <row r="14" spans="2:20" ht="17.25">
      <c r="B14" s="22">
        <v>271</v>
      </c>
      <c r="C14" s="23">
        <v>226297922400</v>
      </c>
      <c r="D14" s="30"/>
      <c r="E14" s="30"/>
      <c r="F14" s="30"/>
      <c r="G14" s="30"/>
      <c r="H14" s="22">
        <v>271</v>
      </c>
      <c r="I14" s="26">
        <v>558301000</v>
      </c>
      <c r="J14" s="31"/>
      <c r="K14" s="27">
        <v>291</v>
      </c>
      <c r="L14" s="28">
        <f>'200이상'!U34*$S$15*$T$13</f>
        <v>6653978073600</v>
      </c>
      <c r="M14" s="29">
        <f>L14/'[1]경험치 정보'!C34</f>
        <v>2.05537156982004E-2</v>
      </c>
      <c r="N14" s="31"/>
      <c r="O14" s="27">
        <v>271</v>
      </c>
      <c r="P14" s="25">
        <f>ROUND('[1]경험치 정보'!I14*268.8,0)</f>
        <v>666983386</v>
      </c>
      <c r="R14" s="52" t="s">
        <v>98</v>
      </c>
      <c r="S14" s="53">
        <v>132</v>
      </c>
    </row>
    <row r="15" spans="2:20" ht="17.25">
      <c r="B15" s="22">
        <v>272</v>
      </c>
      <c r="C15" s="23">
        <v>229243408560</v>
      </c>
      <c r="D15" s="30"/>
      <c r="E15" s="30"/>
      <c r="F15" s="30"/>
      <c r="G15" s="30"/>
      <c r="H15" s="22">
        <v>272</v>
      </c>
      <c r="I15" s="26">
        <v>565568000</v>
      </c>
      <c r="J15" s="31"/>
      <c r="K15" s="27">
        <v>292</v>
      </c>
      <c r="L15" s="28">
        <f>'200이상'!U35*$S$15*$T$13</f>
        <v>6737444313600</v>
      </c>
      <c r="M15" s="29">
        <f>L15/'[1]경험치 정보'!C35</f>
        <v>1.8919579648098182E-2</v>
      </c>
      <c r="N15" s="31"/>
      <c r="O15" s="27">
        <v>272</v>
      </c>
      <c r="P15" s="25">
        <f>ROUND('[1]경험치 정보'!I15*268.8,0)</f>
        <v>675664819</v>
      </c>
      <c r="R15" s="52" t="s">
        <v>99</v>
      </c>
      <c r="S15" s="53">
        <v>143</v>
      </c>
    </row>
    <row r="16" spans="2:20" ht="17.25">
      <c r="B16" s="22">
        <v>273</v>
      </c>
      <c r="C16" s="23">
        <v>232208776800</v>
      </c>
      <c r="D16" s="30"/>
      <c r="E16" s="30"/>
      <c r="F16" s="30"/>
      <c r="G16" s="30"/>
      <c r="H16" s="22">
        <v>273</v>
      </c>
      <c r="I16" s="26">
        <v>572884000</v>
      </c>
      <c r="J16" s="31"/>
      <c r="K16" s="27">
        <v>293</v>
      </c>
      <c r="L16" s="28">
        <f>'200이상'!U36*$S$15*$T$13</f>
        <v>6821411625600</v>
      </c>
      <c r="M16" s="29">
        <f>L16/'[1]경험치 정보'!C36</f>
        <v>1.741397298115889E-2</v>
      </c>
      <c r="N16" s="31"/>
      <c r="O16" s="27">
        <v>273</v>
      </c>
      <c r="P16" s="25">
        <f>ROUND('[1]경험치 정보'!I16*268.8,0)</f>
        <v>684404851</v>
      </c>
    </row>
    <row r="17" spans="2:16" ht="17.25">
      <c r="B17" s="22">
        <v>274</v>
      </c>
      <c r="C17" s="23">
        <v>235561014720</v>
      </c>
      <c r="D17" s="30"/>
      <c r="E17" s="30"/>
      <c r="F17" s="30"/>
      <c r="G17" s="30"/>
      <c r="H17" s="22">
        <v>274</v>
      </c>
      <c r="I17" s="26">
        <v>581154000</v>
      </c>
      <c r="J17" s="31"/>
      <c r="K17" s="27">
        <v>294</v>
      </c>
      <c r="L17" s="28">
        <f>'200이상'!U37*$S$15*$T$13</f>
        <v>6896248444800</v>
      </c>
      <c r="M17" s="29">
        <f>L17/'[1]경험치 정보'!C37</f>
        <v>1.6004563102241423E-2</v>
      </c>
      <c r="N17" s="31"/>
      <c r="O17" s="27">
        <v>274</v>
      </c>
      <c r="P17" s="25">
        <f>ROUND('[1]경험치 정보'!I17*268.8,0)</f>
        <v>694285133</v>
      </c>
    </row>
    <row r="18" spans="2:16" ht="17.25">
      <c r="B18" s="22">
        <v>275</v>
      </c>
      <c r="C18" s="23">
        <v>264755774880</v>
      </c>
      <c r="D18" s="30"/>
      <c r="E18" s="30"/>
      <c r="F18" s="30"/>
      <c r="G18" s="30"/>
      <c r="H18" s="22">
        <v>275</v>
      </c>
      <c r="I18" s="26">
        <v>653181000</v>
      </c>
      <c r="J18" s="31"/>
      <c r="K18" s="27">
        <v>295</v>
      </c>
      <c r="L18" s="28">
        <f>'200이상'!U37*$S$15*$T$13</f>
        <v>6896248444800</v>
      </c>
      <c r="M18" s="29">
        <f>L18/'[1]경험치 정보'!C38</f>
        <v>7.9230510407135805E-3</v>
      </c>
      <c r="N18" s="31"/>
      <c r="O18" s="27">
        <v>275</v>
      </c>
      <c r="P18" s="25">
        <f>ROUND('[1]경험치 정보'!I18*268.8,0)</f>
        <v>780332851</v>
      </c>
    </row>
    <row r="19" spans="2:16" ht="17.25">
      <c r="B19" s="22">
        <v>276</v>
      </c>
      <c r="C19" s="23">
        <v>268092964800</v>
      </c>
      <c r="D19" s="30"/>
      <c r="E19" s="30"/>
      <c r="F19" s="30"/>
      <c r="G19" s="30"/>
      <c r="H19" s="22">
        <v>276</v>
      </c>
      <c r="I19" s="26">
        <v>661414000</v>
      </c>
      <c r="J19" s="31"/>
      <c r="K19" s="27">
        <v>296</v>
      </c>
      <c r="L19" s="28">
        <f>'200이상'!U37*$S$15*$T$13</f>
        <v>6896248444800</v>
      </c>
      <c r="M19" s="29">
        <f>L19/'[1]경험치 정보'!C39</f>
        <v>7.2027736733759869E-3</v>
      </c>
      <c r="N19" s="31"/>
      <c r="O19" s="27">
        <v>276</v>
      </c>
      <c r="P19" s="25">
        <f>ROUND('[1]경험치 정보'!I19*268.8,0)</f>
        <v>790168781</v>
      </c>
    </row>
    <row r="20" spans="2:16" ht="17.25">
      <c r="B20" s="22">
        <v>277</v>
      </c>
      <c r="C20" s="23">
        <v>271868097600</v>
      </c>
      <c r="D20" s="30"/>
      <c r="E20" s="30"/>
      <c r="F20" s="30"/>
      <c r="G20" s="30"/>
      <c r="H20" s="22">
        <v>277</v>
      </c>
      <c r="I20" s="26">
        <v>670728000</v>
      </c>
      <c r="J20" s="31"/>
      <c r="K20" s="27">
        <v>297</v>
      </c>
      <c r="L20" s="26">
        <f>'200이상'!U37*$S$15*$T$13</f>
        <v>6896248444800</v>
      </c>
      <c r="M20" s="29">
        <f>L20/'[1]경험치 정보'!C40</f>
        <v>6.5479760667054515E-3</v>
      </c>
      <c r="N20" s="31"/>
      <c r="O20" s="27">
        <v>277</v>
      </c>
      <c r="P20" s="25">
        <f>ROUND('[1]경험치 정보'!I20*268.8,0)</f>
        <v>801295488</v>
      </c>
    </row>
    <row r="21" spans="2:16" ht="17.25">
      <c r="B21" s="22">
        <v>278</v>
      </c>
      <c r="C21" s="23">
        <v>275240491200</v>
      </c>
      <c r="D21" s="30"/>
      <c r="E21" s="30"/>
      <c r="F21" s="30"/>
      <c r="G21" s="30"/>
      <c r="H21" s="22">
        <v>278</v>
      </c>
      <c r="I21" s="26">
        <v>679048000</v>
      </c>
      <c r="J21" s="31"/>
      <c r="K21" s="27">
        <v>298</v>
      </c>
      <c r="L21" s="28">
        <f>'200이상'!U37*$S$15*$T$13</f>
        <v>6896248444800</v>
      </c>
      <c r="M21" s="29">
        <f>L21/'[1]경험치 정보'!C41</f>
        <v>5.9527055151867951E-3</v>
      </c>
      <c r="N21" s="31"/>
      <c r="O21" s="27">
        <v>278</v>
      </c>
      <c r="P21" s="25">
        <f>ROUND('[1]경험치 정보'!I21*268.8,0)</f>
        <v>811235174</v>
      </c>
    </row>
    <row r="22" spans="2:16" ht="17.25">
      <c r="B22" s="22">
        <v>279</v>
      </c>
      <c r="C22" s="23">
        <v>279046084320</v>
      </c>
      <c r="D22" s="30"/>
      <c r="E22" s="30"/>
      <c r="F22" s="30"/>
      <c r="G22" s="30"/>
      <c r="H22" s="22">
        <v>279</v>
      </c>
      <c r="I22" s="26">
        <v>688437000</v>
      </c>
      <c r="J22" s="31"/>
      <c r="K22" s="27">
        <v>299</v>
      </c>
      <c r="L22" s="28">
        <f>'200이상'!U37*$S$15*$T$13</f>
        <v>6896248444800</v>
      </c>
      <c r="M22" s="29">
        <f>L22/'[1]경험치 정보'!C42</f>
        <v>3.9684703434578637E-3</v>
      </c>
      <c r="N22" s="31"/>
      <c r="O22" s="27">
        <v>279</v>
      </c>
      <c r="P22" s="25">
        <f>ROUND('[1]경험치 정보'!I22*268.8,0)</f>
        <v>822451661</v>
      </c>
    </row>
    <row r="23" spans="2:16">
      <c r="B23" s="22">
        <v>280</v>
      </c>
      <c r="C23" s="23">
        <v>313365646080</v>
      </c>
      <c r="D23" s="30"/>
      <c r="E23" s="30"/>
      <c r="F23" s="30"/>
      <c r="G23" s="30"/>
      <c r="H23" s="22">
        <v>280</v>
      </c>
      <c r="I23" s="26">
        <v>773107000</v>
      </c>
      <c r="J23" s="30"/>
      <c r="K23" s="30"/>
      <c r="L23" s="30"/>
      <c r="M23" s="30"/>
      <c r="N23" s="30"/>
      <c r="O23" s="27">
        <v>280</v>
      </c>
      <c r="P23" s="25">
        <f>ROUND('[1]경험치 정보'!I23*240,0)</f>
        <v>824646480</v>
      </c>
    </row>
    <row r="24" spans="2:16">
      <c r="B24" s="22">
        <v>281</v>
      </c>
      <c r="C24" s="23">
        <v>317641739760</v>
      </c>
      <c r="D24" s="30"/>
      <c r="E24" s="30"/>
      <c r="F24" s="30"/>
      <c r="G24" s="30"/>
      <c r="H24" s="22">
        <v>281</v>
      </c>
      <c r="I24" s="26">
        <v>783656000</v>
      </c>
      <c r="J24" s="30"/>
      <c r="K24" s="30"/>
      <c r="L24" s="30"/>
      <c r="M24" s="30"/>
      <c r="N24" s="30"/>
      <c r="O24" s="27">
        <v>281</v>
      </c>
      <c r="P24" s="25">
        <f>ROUND('[1]경험치 정보'!I24*240,0)</f>
        <v>835899360</v>
      </c>
    </row>
    <row r="25" spans="2:16">
      <c r="B25" s="22">
        <v>282</v>
      </c>
      <c r="C25" s="23">
        <v>321458824800</v>
      </c>
      <c r="D25" s="30"/>
      <c r="E25" s="30"/>
      <c r="F25" s="30"/>
      <c r="G25" s="30"/>
      <c r="H25" s="22">
        <v>282</v>
      </c>
      <c r="I25" s="26">
        <v>793073000</v>
      </c>
      <c r="J25" s="30"/>
      <c r="K25" s="30"/>
      <c r="L25" s="30"/>
      <c r="M25" s="30"/>
      <c r="N25" s="30"/>
      <c r="O25" s="27">
        <v>282</v>
      </c>
      <c r="P25" s="25">
        <f>ROUND('[1]경험치 정보'!I25*240,0)</f>
        <v>845944320</v>
      </c>
    </row>
    <row r="26" spans="2:16">
      <c r="B26" s="22">
        <v>283</v>
      </c>
      <c r="C26" s="23">
        <v>325767294720</v>
      </c>
      <c r="D26" s="30"/>
      <c r="E26" s="30"/>
      <c r="F26" s="30"/>
      <c r="G26" s="30"/>
      <c r="H26" s="22">
        <v>283</v>
      </c>
      <c r="I26" s="26">
        <v>803703000</v>
      </c>
      <c r="J26" s="30"/>
      <c r="K26" s="30"/>
      <c r="L26" s="30"/>
      <c r="M26" s="30"/>
      <c r="N26" s="30"/>
      <c r="O26" s="27">
        <v>283</v>
      </c>
      <c r="P26" s="25">
        <f>ROUND('[1]경험치 정보'!I26*240,0)</f>
        <v>857282400</v>
      </c>
    </row>
    <row r="27" spans="2:16">
      <c r="B27" s="22">
        <v>284</v>
      </c>
      <c r="C27" s="23">
        <v>329622136560</v>
      </c>
      <c r="D27" s="30"/>
      <c r="E27" s="30"/>
      <c r="F27" s="30"/>
      <c r="G27" s="30"/>
      <c r="H27" s="22">
        <v>284</v>
      </c>
      <c r="I27" s="26">
        <v>813213000</v>
      </c>
      <c r="J27" s="30"/>
      <c r="K27" s="30"/>
      <c r="L27" s="30"/>
      <c r="M27" s="30"/>
      <c r="N27" s="30"/>
      <c r="O27" s="27">
        <v>284</v>
      </c>
      <c r="P27" s="25">
        <f>ROUND('[1]경험치 정보'!I27*240,0)</f>
        <v>867426720</v>
      </c>
    </row>
    <row r="28" spans="2:16">
      <c r="B28" s="22">
        <v>285</v>
      </c>
      <c r="C28" s="23">
        <v>370542388320</v>
      </c>
      <c r="D28" s="30"/>
      <c r="E28" s="30"/>
      <c r="F28" s="30"/>
      <c r="G28" s="30"/>
      <c r="H28" s="22">
        <v>285</v>
      </c>
      <c r="I28" s="26">
        <v>914168000</v>
      </c>
      <c r="J28" s="30"/>
      <c r="K28" s="30"/>
      <c r="L28" s="30"/>
      <c r="M28" s="30"/>
      <c r="N28" s="30"/>
      <c r="O28" s="27">
        <v>285</v>
      </c>
      <c r="P28" s="25">
        <f>ROUND('[1]경험치 정보'!I28*240,0)</f>
        <v>975111600</v>
      </c>
    </row>
    <row r="29" spans="2:16">
      <c r="B29" s="22">
        <v>286</v>
      </c>
      <c r="C29" s="23">
        <v>374859704880</v>
      </c>
      <c r="D29" s="30"/>
      <c r="E29" s="30"/>
      <c r="F29" s="30"/>
      <c r="G29" s="30"/>
      <c r="H29" s="22">
        <v>286</v>
      </c>
      <c r="I29" s="26">
        <v>924819000</v>
      </c>
      <c r="J29" s="30"/>
      <c r="K29" s="30"/>
      <c r="L29" s="30"/>
      <c r="M29" s="30"/>
      <c r="N29" s="30"/>
      <c r="O29" s="27">
        <v>286</v>
      </c>
      <c r="P29" s="25">
        <f>ROUND('[1]경험치 정보'!I29*240,0)</f>
        <v>986472960</v>
      </c>
    </row>
    <row r="30" spans="2:16">
      <c r="B30" s="22">
        <v>287</v>
      </c>
      <c r="C30" s="23">
        <v>379734071040</v>
      </c>
      <c r="D30" s="30"/>
      <c r="E30" s="30"/>
      <c r="F30" s="30"/>
      <c r="G30" s="30"/>
      <c r="H30" s="22">
        <v>287</v>
      </c>
      <c r="I30" s="26">
        <v>936844000</v>
      </c>
      <c r="J30" s="30"/>
      <c r="K30" s="30"/>
      <c r="L30" s="30"/>
      <c r="M30" s="30"/>
      <c r="N30" s="30"/>
      <c r="O30" s="27">
        <v>287</v>
      </c>
      <c r="P30" s="25">
        <f>ROUND('[1]경험치 정보'!I30*240,0)</f>
        <v>999300240</v>
      </c>
    </row>
    <row r="31" spans="2:16">
      <c r="B31" s="22">
        <v>288</v>
      </c>
      <c r="C31" s="23">
        <v>384638351040</v>
      </c>
      <c r="D31" s="30"/>
      <c r="E31" s="30"/>
      <c r="F31" s="30"/>
      <c r="G31" s="30"/>
      <c r="H31" s="22">
        <v>288</v>
      </c>
      <c r="I31" s="26">
        <v>948944000</v>
      </c>
      <c r="J31" s="30"/>
      <c r="K31" s="30"/>
      <c r="L31" s="30"/>
      <c r="M31" s="30"/>
      <c r="N31" s="30"/>
      <c r="O31" s="27">
        <v>288</v>
      </c>
      <c r="P31" s="25">
        <f>ROUND('[1]경험치 정보'!I31*240,0)</f>
        <v>1012206240</v>
      </c>
    </row>
    <row r="32" spans="2:16">
      <c r="B32" s="22">
        <v>289</v>
      </c>
      <c r="C32" s="23">
        <v>389012576400</v>
      </c>
      <c r="D32" s="30"/>
      <c r="E32" s="30"/>
      <c r="F32" s="30"/>
      <c r="G32" s="30"/>
      <c r="H32" s="22">
        <v>289</v>
      </c>
      <c r="I32" s="26">
        <v>959736000</v>
      </c>
      <c r="J32" s="30"/>
      <c r="K32" s="30"/>
      <c r="L32" s="30"/>
      <c r="M32" s="30"/>
      <c r="N32" s="30"/>
      <c r="O32" s="27">
        <v>289</v>
      </c>
      <c r="P32" s="25">
        <f>ROUND('[1]경험치 정보'!I32*240,0)</f>
        <v>1023717360</v>
      </c>
    </row>
    <row r="33" spans="2:16">
      <c r="B33" s="22">
        <v>290</v>
      </c>
      <c r="C33" s="23">
        <v>437150578320</v>
      </c>
      <c r="D33" s="30"/>
      <c r="E33" s="30"/>
      <c r="F33" s="30"/>
      <c r="G33" s="30"/>
      <c r="H33" s="22">
        <v>290</v>
      </c>
      <c r="I33" s="26">
        <v>1078497000</v>
      </c>
      <c r="J33" s="30"/>
      <c r="K33" s="30"/>
      <c r="L33" s="30"/>
      <c r="M33" s="30"/>
      <c r="N33" s="30"/>
      <c r="O33" s="27">
        <v>290</v>
      </c>
      <c r="P33" s="25">
        <f>ROUND('[1]경험치 정보'!I33*220.8,0)</f>
        <v>1058364614</v>
      </c>
    </row>
    <row r="34" spans="2:16">
      <c r="B34" s="22">
        <v>291</v>
      </c>
      <c r="C34" s="23">
        <v>442047471120</v>
      </c>
      <c r="D34" s="30"/>
      <c r="E34" s="30"/>
      <c r="F34" s="30"/>
      <c r="G34" s="30"/>
      <c r="H34" s="22">
        <v>291</v>
      </c>
      <c r="I34" s="26">
        <v>1078497000</v>
      </c>
      <c r="J34" s="30"/>
      <c r="K34" s="30"/>
      <c r="L34" s="30"/>
      <c r="M34" s="30"/>
      <c r="N34" s="30"/>
      <c r="O34" s="27">
        <v>291</v>
      </c>
      <c r="P34" s="25">
        <f>ROUND('[1]경험치 정보'!I34*220.8,0)</f>
        <v>1070220250</v>
      </c>
    </row>
    <row r="35" spans="2:16">
      <c r="B35" s="22">
        <v>292</v>
      </c>
      <c r="C35" s="23">
        <v>447592430880</v>
      </c>
      <c r="D35" s="30"/>
      <c r="E35" s="30"/>
      <c r="F35" s="30"/>
      <c r="G35" s="30"/>
      <c r="H35" s="22">
        <v>292</v>
      </c>
      <c r="I35" s="26">
        <v>1078497000</v>
      </c>
      <c r="J35" s="30"/>
      <c r="K35" s="30"/>
      <c r="L35" s="30"/>
      <c r="M35" s="30"/>
      <c r="N35" s="30"/>
      <c r="O35" s="27">
        <v>292</v>
      </c>
      <c r="P35" s="25">
        <f>ROUND('[1]경험치 정보'!I35*220.8,0)</f>
        <v>1083644890</v>
      </c>
    </row>
    <row r="36" spans="2:16">
      <c r="B36" s="22">
        <v>293</v>
      </c>
      <c r="C36" s="23">
        <v>453170678400</v>
      </c>
      <c r="D36" s="30"/>
      <c r="E36" s="30"/>
      <c r="F36" s="30"/>
      <c r="G36" s="30"/>
      <c r="H36" s="22">
        <v>293</v>
      </c>
      <c r="I36" s="26">
        <v>1078497000</v>
      </c>
      <c r="J36" s="30"/>
      <c r="K36" s="30"/>
      <c r="L36" s="30"/>
      <c r="M36" s="30"/>
      <c r="N36" s="30"/>
      <c r="O36" s="27">
        <v>293</v>
      </c>
      <c r="P36" s="25">
        <f>ROUND('[1]경험치 정보'!I36*220.8,0)</f>
        <v>1097150122</v>
      </c>
    </row>
    <row r="37" spans="2:16">
      <c r="B37" s="22">
        <v>294</v>
      </c>
      <c r="C37" s="23">
        <v>458142355440</v>
      </c>
      <c r="D37" s="30"/>
      <c r="E37" s="30"/>
      <c r="F37" s="30"/>
      <c r="G37" s="30"/>
      <c r="H37" s="22">
        <v>294</v>
      </c>
      <c r="I37" s="26">
        <v>1078497000</v>
      </c>
      <c r="J37" s="30"/>
      <c r="K37" s="30"/>
      <c r="L37" s="30"/>
      <c r="M37" s="30"/>
      <c r="N37" s="30"/>
      <c r="O37" s="27">
        <v>294</v>
      </c>
      <c r="P37" s="25">
        <f>ROUND('[1]경험치 정보'!I37*220.8,0)</f>
        <v>1109186813</v>
      </c>
    </row>
    <row r="38" spans="2:16">
      <c r="B38" s="22">
        <v>295</v>
      </c>
      <c r="C38" s="23">
        <v>458142355440</v>
      </c>
      <c r="D38" s="30"/>
      <c r="E38" s="30"/>
      <c r="F38" s="30"/>
      <c r="G38" s="30"/>
      <c r="H38" s="22">
        <v>295</v>
      </c>
      <c r="I38" s="26">
        <v>1078497000</v>
      </c>
      <c r="J38" s="30"/>
      <c r="K38" s="30"/>
      <c r="L38" s="30"/>
      <c r="M38" s="30"/>
      <c r="N38" s="30"/>
      <c r="O38" s="27">
        <v>295</v>
      </c>
      <c r="P38" s="25">
        <f>ROUND('[1]경험치 정보'!I37*220.8,0)</f>
        <v>1109186813</v>
      </c>
    </row>
    <row r="39" spans="2:16">
      <c r="B39" s="22">
        <v>296</v>
      </c>
      <c r="C39" s="23">
        <v>458142355440</v>
      </c>
      <c r="D39" s="30"/>
      <c r="E39" s="30"/>
      <c r="F39" s="30"/>
      <c r="G39" s="30"/>
      <c r="H39" s="22">
        <v>296</v>
      </c>
      <c r="I39" s="26">
        <v>1078497000</v>
      </c>
      <c r="J39" s="30"/>
      <c r="K39" s="30"/>
      <c r="L39" s="30"/>
      <c r="M39" s="30"/>
      <c r="N39" s="30"/>
      <c r="O39" s="27">
        <v>296</v>
      </c>
      <c r="P39" s="25">
        <f>ROUND('[1]경험치 정보'!I37*220.8,0)</f>
        <v>1109186813</v>
      </c>
    </row>
    <row r="40" spans="2:16">
      <c r="B40" s="22">
        <v>297</v>
      </c>
      <c r="C40" s="23">
        <v>458142355440</v>
      </c>
      <c r="D40" s="30"/>
      <c r="E40" s="30"/>
      <c r="F40" s="30"/>
      <c r="G40" s="30"/>
      <c r="H40" s="22">
        <v>297</v>
      </c>
      <c r="I40" s="26">
        <v>1078497000</v>
      </c>
      <c r="J40" s="30"/>
      <c r="K40" s="30"/>
      <c r="L40" s="30"/>
      <c r="M40" s="30"/>
      <c r="N40" s="30"/>
      <c r="O40" s="27">
        <v>297</v>
      </c>
      <c r="P40" s="25">
        <f>ROUND('[1]경험치 정보'!I37*220.8,0)</f>
        <v>1109186813</v>
      </c>
    </row>
    <row r="41" spans="2:16">
      <c r="B41" s="22">
        <v>298</v>
      </c>
      <c r="C41" s="23">
        <v>458142355440</v>
      </c>
      <c r="D41" s="30"/>
      <c r="E41" s="30"/>
      <c r="F41" s="30"/>
      <c r="G41" s="30"/>
      <c r="H41" s="22">
        <v>298</v>
      </c>
      <c r="I41" s="26">
        <v>1078497000</v>
      </c>
      <c r="J41" s="30"/>
      <c r="K41" s="30"/>
      <c r="L41" s="30"/>
      <c r="M41" s="30"/>
      <c r="N41" s="30"/>
      <c r="O41" s="27">
        <v>298</v>
      </c>
      <c r="P41" s="25">
        <f>ROUND('[1]경험치 정보'!I37*220.8,0)</f>
        <v>1109186813</v>
      </c>
    </row>
    <row r="42" spans="2:16">
      <c r="B42" s="22">
        <v>299</v>
      </c>
      <c r="C42" s="23">
        <v>458142355440</v>
      </c>
      <c r="D42" s="30"/>
      <c r="E42" s="30"/>
      <c r="F42" s="30"/>
      <c r="G42" s="30"/>
      <c r="H42" s="22">
        <v>299</v>
      </c>
      <c r="I42" s="26">
        <v>1078497000</v>
      </c>
      <c r="J42" s="30"/>
      <c r="K42" s="30"/>
      <c r="L42" s="30"/>
      <c r="M42" s="30"/>
      <c r="N42" s="30"/>
      <c r="O42" s="27">
        <v>299</v>
      </c>
      <c r="P42" s="25">
        <f>ROUND('[1]경험치 정보'!I37*220.8,0)</f>
        <v>1109186813</v>
      </c>
    </row>
  </sheetData>
  <sheetProtection sheet="1" objects="1" scenarios="1"/>
  <mergeCells count="2">
    <mergeCell ref="R2:S2"/>
    <mergeCell ref="R11:T1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A19B-1B52-4ECC-94EC-DD944D1B1707}">
  <dimension ref="B1:AF52"/>
  <sheetViews>
    <sheetView zoomScale="70" zoomScaleNormal="70" workbookViewId="0">
      <selection activeCell="O32" sqref="O32"/>
    </sheetView>
  </sheetViews>
  <sheetFormatPr defaultRowHeight="16.5"/>
  <cols>
    <col min="1" max="1" width="7.625" bestFit="1" customWidth="1"/>
    <col min="2" max="2" width="4.5" bestFit="1" customWidth="1"/>
    <col min="3" max="3" width="9.5" bestFit="1" customWidth="1"/>
    <col min="4" max="4" width="10" bestFit="1" customWidth="1"/>
    <col min="5" max="5" width="9.125" bestFit="1" customWidth="1"/>
    <col min="6" max="6" width="2" customWidth="1"/>
    <col min="7" max="7" width="6" bestFit="1" customWidth="1"/>
    <col min="8" max="8" width="6.5" bestFit="1" customWidth="1"/>
    <col min="9" max="9" width="9.625" bestFit="1" customWidth="1"/>
    <col min="10" max="10" width="4.5" bestFit="1" customWidth="1"/>
    <col min="11" max="11" width="9.5" bestFit="1" customWidth="1"/>
    <col min="12" max="12" width="10" customWidth="1"/>
    <col min="13" max="13" width="10.125" bestFit="1" customWidth="1"/>
    <col min="15" max="15" width="6" bestFit="1" customWidth="1"/>
    <col min="16" max="16" width="6.5" bestFit="1" customWidth="1"/>
    <col min="17" max="17" width="10.125" bestFit="1" customWidth="1"/>
    <col min="18" max="18" width="4.5" bestFit="1" customWidth="1"/>
    <col min="19" max="19" width="10.125" bestFit="1" customWidth="1"/>
    <col min="20" max="20" width="10" customWidth="1"/>
    <col min="21" max="21" width="11" bestFit="1" customWidth="1"/>
    <col min="22" max="22" width="9.625" bestFit="1" customWidth="1"/>
    <col min="23" max="23" width="6" bestFit="1" customWidth="1"/>
    <col min="24" max="24" width="6.5" bestFit="1" customWidth="1"/>
    <col min="25" max="25" width="10" customWidth="1"/>
    <col min="26" max="26" width="4.5" bestFit="1" customWidth="1"/>
    <col min="27" max="27" width="15.375" bestFit="1" customWidth="1"/>
    <col min="28" max="28" width="10" customWidth="1"/>
    <col min="29" max="29" width="14.75" bestFit="1" customWidth="1"/>
    <col min="31" max="31" width="6" bestFit="1" customWidth="1"/>
    <col min="32" max="32" width="6.5" bestFit="1" customWidth="1"/>
  </cols>
  <sheetData>
    <row r="1" spans="2:32" ht="17.25" thickBot="1"/>
    <row r="2" spans="2:32" ht="33.75" thickBot="1">
      <c r="B2" s="1" t="s">
        <v>20</v>
      </c>
      <c r="C2" s="1" t="s">
        <v>21</v>
      </c>
      <c r="D2" s="1" t="s">
        <v>100</v>
      </c>
      <c r="E2" s="1" t="s">
        <v>23</v>
      </c>
      <c r="G2" s="1" t="s">
        <v>101</v>
      </c>
      <c r="H2" s="1" t="s">
        <v>102</v>
      </c>
      <c r="J2" s="1" t="s">
        <v>20</v>
      </c>
      <c r="K2" s="1" t="s">
        <v>21</v>
      </c>
      <c r="L2" s="1" t="s">
        <v>100</v>
      </c>
      <c r="M2" s="1" t="s">
        <v>23</v>
      </c>
      <c r="O2" s="1" t="s">
        <v>101</v>
      </c>
      <c r="P2" s="1" t="s">
        <v>102</v>
      </c>
      <c r="R2" s="1" t="s">
        <v>20</v>
      </c>
      <c r="S2" s="1" t="s">
        <v>21</v>
      </c>
      <c r="T2" s="1" t="s">
        <v>100</v>
      </c>
      <c r="U2" s="1" t="s">
        <v>23</v>
      </c>
      <c r="W2" s="1" t="s">
        <v>101</v>
      </c>
      <c r="X2" s="1" t="s">
        <v>102</v>
      </c>
      <c r="Z2" s="1" t="s">
        <v>20</v>
      </c>
      <c r="AA2" s="1" t="s">
        <v>21</v>
      </c>
      <c r="AB2" s="1" t="s">
        <v>100</v>
      </c>
      <c r="AC2" s="1" t="s">
        <v>23</v>
      </c>
      <c r="AE2" s="1" t="s">
        <v>101</v>
      </c>
      <c r="AF2" s="1" t="s">
        <v>102</v>
      </c>
    </row>
    <row r="3" spans="2:32" ht="17.25" thickBot="1">
      <c r="B3" s="1">
        <v>1</v>
      </c>
      <c r="C3" s="2">
        <v>15</v>
      </c>
      <c r="D3" s="2" t="s">
        <v>39</v>
      </c>
      <c r="E3" s="2">
        <v>15</v>
      </c>
      <c r="G3" s="1">
        <v>1</v>
      </c>
      <c r="H3" s="3"/>
      <c r="J3" s="1">
        <v>51</v>
      </c>
      <c r="K3" s="4">
        <v>119739</v>
      </c>
      <c r="L3" s="5">
        <v>0.08</v>
      </c>
      <c r="M3" s="4">
        <v>1357595</v>
      </c>
      <c r="O3" s="1">
        <v>51</v>
      </c>
      <c r="P3" s="3"/>
      <c r="R3" s="1">
        <v>101</v>
      </c>
      <c r="S3" s="4">
        <v>2365603</v>
      </c>
      <c r="T3" s="5">
        <v>0</v>
      </c>
      <c r="U3" s="4">
        <v>42335685</v>
      </c>
      <c r="W3" s="1">
        <v>101</v>
      </c>
      <c r="X3" s="3"/>
      <c r="Z3" s="1">
        <v>151</v>
      </c>
      <c r="AA3" s="4">
        <v>44373553</v>
      </c>
      <c r="AB3" s="6">
        <v>6.25E-2</v>
      </c>
      <c r="AC3" s="4">
        <v>751831340</v>
      </c>
      <c r="AE3" s="1">
        <v>151</v>
      </c>
      <c r="AF3" s="3"/>
    </row>
    <row r="4" spans="2:32" ht="17.25" thickBot="1">
      <c r="B4" s="1">
        <v>2</v>
      </c>
      <c r="C4" s="2">
        <v>34</v>
      </c>
      <c r="D4" s="6">
        <v>1.2666999999999999</v>
      </c>
      <c r="E4" s="2">
        <v>49</v>
      </c>
      <c r="G4" s="1">
        <v>2</v>
      </c>
      <c r="H4" s="3"/>
      <c r="J4" s="1">
        <v>52</v>
      </c>
      <c r="K4" s="4">
        <v>129318</v>
      </c>
      <c r="L4" s="5">
        <v>0.08</v>
      </c>
      <c r="M4" s="4">
        <v>1486913</v>
      </c>
      <c r="O4" s="1">
        <v>52</v>
      </c>
      <c r="P4" s="3"/>
      <c r="R4" s="1">
        <v>102</v>
      </c>
      <c r="S4" s="4">
        <v>2365603</v>
      </c>
      <c r="T4" s="5">
        <v>0</v>
      </c>
      <c r="U4" s="4">
        <v>44701288</v>
      </c>
      <c r="W4" s="1">
        <v>102</v>
      </c>
      <c r="X4" s="3"/>
      <c r="Z4" s="1">
        <v>152</v>
      </c>
      <c r="AA4" s="4">
        <v>47146900</v>
      </c>
      <c r="AB4" s="6">
        <v>6.25E-2</v>
      </c>
      <c r="AC4" s="4">
        <v>798978240</v>
      </c>
      <c r="AE4" s="1">
        <v>152</v>
      </c>
      <c r="AF4" s="3"/>
    </row>
    <row r="5" spans="2:32" ht="17.25" thickBot="1">
      <c r="B5" s="1">
        <v>3</v>
      </c>
      <c r="C5" s="2">
        <v>57</v>
      </c>
      <c r="D5" s="6">
        <v>0.67649999999999999</v>
      </c>
      <c r="E5" s="2">
        <v>106</v>
      </c>
      <c r="G5" s="1">
        <v>3</v>
      </c>
      <c r="H5" s="3"/>
      <c r="J5" s="1">
        <v>53</v>
      </c>
      <c r="K5" s="4">
        <v>139663</v>
      </c>
      <c r="L5" s="5">
        <v>0.08</v>
      </c>
      <c r="M5" s="4">
        <v>1626576</v>
      </c>
      <c r="O5" s="1">
        <v>53</v>
      </c>
      <c r="P5" s="3"/>
      <c r="R5" s="1">
        <v>103</v>
      </c>
      <c r="S5" s="4">
        <v>2365603</v>
      </c>
      <c r="T5" s="5">
        <v>0</v>
      </c>
      <c r="U5" s="4">
        <v>47066891</v>
      </c>
      <c r="W5" s="1">
        <v>103</v>
      </c>
      <c r="X5" s="3"/>
      <c r="Z5" s="1">
        <v>153</v>
      </c>
      <c r="AA5" s="4">
        <v>50093581</v>
      </c>
      <c r="AB5" s="6">
        <v>6.25E-2</v>
      </c>
      <c r="AC5" s="4">
        <v>849071821</v>
      </c>
      <c r="AE5" s="1">
        <v>153</v>
      </c>
      <c r="AF5" s="3"/>
    </row>
    <row r="6" spans="2:32" ht="17.25" thickBot="1">
      <c r="B6" s="1">
        <v>4</v>
      </c>
      <c r="C6" s="2">
        <v>92</v>
      </c>
      <c r="D6" s="6">
        <v>0.61399999999999999</v>
      </c>
      <c r="E6" s="2">
        <v>198</v>
      </c>
      <c r="G6" s="1">
        <v>4</v>
      </c>
      <c r="H6" s="3"/>
      <c r="J6" s="1">
        <v>54</v>
      </c>
      <c r="K6" s="4">
        <v>150836</v>
      </c>
      <c r="L6" s="5">
        <v>0.08</v>
      </c>
      <c r="M6" s="4">
        <v>1777412</v>
      </c>
      <c r="O6" s="1">
        <v>54</v>
      </c>
      <c r="P6" s="3"/>
      <c r="R6" s="1">
        <v>104</v>
      </c>
      <c r="S6" s="4">
        <v>2365603</v>
      </c>
      <c r="T6" s="5">
        <v>0</v>
      </c>
      <c r="U6" s="4">
        <v>49432494</v>
      </c>
      <c r="W6" s="1">
        <v>104</v>
      </c>
      <c r="X6" s="3"/>
      <c r="Z6" s="1">
        <v>154</v>
      </c>
      <c r="AA6" s="4">
        <v>53224429</v>
      </c>
      <c r="AB6" s="6">
        <v>6.25E-2</v>
      </c>
      <c r="AC6" s="4">
        <v>902296250</v>
      </c>
      <c r="AE6" s="1">
        <v>154</v>
      </c>
      <c r="AF6" s="3"/>
    </row>
    <row r="7" spans="2:32" ht="17.25" thickBot="1">
      <c r="B7" s="1">
        <v>5</v>
      </c>
      <c r="C7" s="2">
        <v>135</v>
      </c>
      <c r="D7" s="6">
        <v>0.46739999999999998</v>
      </c>
      <c r="E7" s="2">
        <v>333</v>
      </c>
      <c r="G7" s="1">
        <v>5</v>
      </c>
      <c r="H7" s="3"/>
      <c r="J7" s="1">
        <v>55</v>
      </c>
      <c r="K7" s="4">
        <v>162902</v>
      </c>
      <c r="L7" s="5">
        <v>0.08</v>
      </c>
      <c r="M7" s="4">
        <v>1940314</v>
      </c>
      <c r="O7" s="1">
        <v>55</v>
      </c>
      <c r="P7" s="3"/>
      <c r="R7" s="1">
        <v>105</v>
      </c>
      <c r="S7" s="4">
        <v>2519367</v>
      </c>
      <c r="T7" s="6">
        <v>6.5000000000000002E-2</v>
      </c>
      <c r="U7" s="4">
        <v>51951861</v>
      </c>
      <c r="W7" s="1">
        <v>105</v>
      </c>
      <c r="X7" s="3"/>
      <c r="Z7" s="1">
        <v>155</v>
      </c>
      <c r="AA7" s="4">
        <v>56550955</v>
      </c>
      <c r="AB7" s="6">
        <v>6.25E-2</v>
      </c>
      <c r="AC7" s="4">
        <v>958847205</v>
      </c>
      <c r="AE7" s="1">
        <v>155</v>
      </c>
      <c r="AF7" s="3"/>
    </row>
    <row r="8" spans="2:32" ht="17.25" thickBot="1">
      <c r="B8" s="1">
        <v>6</v>
      </c>
      <c r="C8" s="2">
        <v>372</v>
      </c>
      <c r="D8" s="6">
        <v>1.7556</v>
      </c>
      <c r="E8" s="2">
        <v>705</v>
      </c>
      <c r="G8" s="1">
        <v>6</v>
      </c>
      <c r="H8" s="3"/>
      <c r="J8" s="1">
        <v>56</v>
      </c>
      <c r="K8" s="4">
        <v>175934</v>
      </c>
      <c r="L8" s="5">
        <v>0.08</v>
      </c>
      <c r="M8" s="4">
        <v>2116248</v>
      </c>
      <c r="O8" s="1">
        <v>56</v>
      </c>
      <c r="P8" s="3"/>
      <c r="R8" s="1">
        <v>106</v>
      </c>
      <c r="S8" s="4">
        <v>2683125</v>
      </c>
      <c r="T8" s="6">
        <v>6.5000000000000002E-2</v>
      </c>
      <c r="U8" s="4">
        <v>54634986</v>
      </c>
      <c r="W8" s="1">
        <v>106</v>
      </c>
      <c r="X8" s="3"/>
      <c r="Z8" s="1">
        <v>156</v>
      </c>
      <c r="AA8" s="4">
        <v>60085389</v>
      </c>
      <c r="AB8" s="6">
        <v>6.25E-2</v>
      </c>
      <c r="AC8" s="4">
        <v>1018932594</v>
      </c>
      <c r="AE8" s="1">
        <v>156</v>
      </c>
      <c r="AF8" s="3"/>
    </row>
    <row r="9" spans="2:32" ht="17.25" thickBot="1">
      <c r="B9" s="1">
        <v>7</v>
      </c>
      <c r="C9" s="2">
        <v>560</v>
      </c>
      <c r="D9" s="6">
        <v>0.50529999999999997</v>
      </c>
      <c r="E9" s="4">
        <v>1265</v>
      </c>
      <c r="G9" s="1">
        <v>7</v>
      </c>
      <c r="H9" s="3"/>
      <c r="J9" s="1">
        <v>57</v>
      </c>
      <c r="K9" s="4">
        <v>190008</v>
      </c>
      <c r="L9" s="5">
        <v>0.08</v>
      </c>
      <c r="M9" s="4">
        <v>2306256</v>
      </c>
      <c r="O9" s="1">
        <v>57</v>
      </c>
      <c r="P9" s="3"/>
      <c r="R9" s="1">
        <v>107</v>
      </c>
      <c r="S9" s="4">
        <v>2857528</v>
      </c>
      <c r="T9" s="6">
        <v>6.5000000000000002E-2</v>
      </c>
      <c r="U9" s="4">
        <v>57492514</v>
      </c>
      <c r="W9" s="1">
        <v>107</v>
      </c>
      <c r="X9" s="3"/>
      <c r="Z9" s="1">
        <v>157</v>
      </c>
      <c r="AA9" s="4">
        <v>63840725</v>
      </c>
      <c r="AB9" s="6">
        <v>6.25E-2</v>
      </c>
      <c r="AC9" s="4">
        <v>1082773319</v>
      </c>
      <c r="AE9" s="1">
        <v>157</v>
      </c>
      <c r="AF9" s="3"/>
    </row>
    <row r="10" spans="2:32" ht="17.25" thickBot="1">
      <c r="B10" s="1">
        <v>8</v>
      </c>
      <c r="C10" s="2">
        <v>840</v>
      </c>
      <c r="D10" s="5">
        <v>0.5</v>
      </c>
      <c r="E10" s="4">
        <v>2105</v>
      </c>
      <c r="G10" s="1">
        <v>8</v>
      </c>
      <c r="H10" s="3"/>
      <c r="J10" s="1">
        <v>58</v>
      </c>
      <c r="K10" s="4">
        <v>205208</v>
      </c>
      <c r="L10" s="5">
        <v>0.08</v>
      </c>
      <c r="M10" s="4">
        <v>2511464</v>
      </c>
      <c r="O10" s="1">
        <v>58</v>
      </c>
      <c r="P10" s="3"/>
      <c r="R10" s="1">
        <v>108</v>
      </c>
      <c r="S10" s="4">
        <v>3043267</v>
      </c>
      <c r="T10" s="6">
        <v>6.5000000000000002E-2</v>
      </c>
      <c r="U10" s="4">
        <v>60535781</v>
      </c>
      <c r="W10" s="1">
        <v>108</v>
      </c>
      <c r="X10" s="3"/>
      <c r="Z10" s="1">
        <v>158</v>
      </c>
      <c r="AA10" s="4">
        <v>67830770</v>
      </c>
      <c r="AB10" s="6">
        <v>6.25E-2</v>
      </c>
      <c r="AC10" s="4">
        <v>1150604089</v>
      </c>
      <c r="AE10" s="1">
        <v>158</v>
      </c>
      <c r="AF10" s="3"/>
    </row>
    <row r="11" spans="2:32" ht="17.25" thickBot="1">
      <c r="B11" s="1">
        <v>9</v>
      </c>
      <c r="C11" s="4">
        <v>1242</v>
      </c>
      <c r="D11" s="6">
        <v>0.47860000000000003</v>
      </c>
      <c r="E11" s="4">
        <v>3347</v>
      </c>
      <c r="G11" s="1">
        <v>9</v>
      </c>
      <c r="H11" s="3"/>
      <c r="J11" s="1">
        <v>59</v>
      </c>
      <c r="K11" s="4">
        <v>221624</v>
      </c>
      <c r="L11" s="5">
        <v>0.08</v>
      </c>
      <c r="M11" s="4">
        <v>2733088</v>
      </c>
      <c r="O11" s="1">
        <v>59</v>
      </c>
      <c r="P11" s="3"/>
      <c r="R11" s="1">
        <v>109</v>
      </c>
      <c r="S11" s="4">
        <v>3241079</v>
      </c>
      <c r="T11" s="6">
        <v>6.5000000000000002E-2</v>
      </c>
      <c r="U11" s="4">
        <v>63776860</v>
      </c>
      <c r="W11" s="1">
        <v>109</v>
      </c>
      <c r="X11" s="3"/>
      <c r="Z11" s="1">
        <v>159</v>
      </c>
      <c r="AA11" s="4">
        <v>72070193</v>
      </c>
      <c r="AB11" s="6">
        <v>6.25E-2</v>
      </c>
      <c r="AC11" s="4">
        <v>1222674282</v>
      </c>
      <c r="AE11" s="1">
        <v>159</v>
      </c>
      <c r="AF11" s="3"/>
    </row>
    <row r="12" spans="2:32" ht="17.25" thickBot="1">
      <c r="B12" s="1">
        <v>10</v>
      </c>
      <c r="C12" s="4">
        <v>1242</v>
      </c>
      <c r="D12" s="5">
        <v>0</v>
      </c>
      <c r="E12" s="4">
        <v>4589</v>
      </c>
      <c r="G12" s="1">
        <v>10</v>
      </c>
      <c r="H12" s="3"/>
      <c r="J12" s="1">
        <v>60</v>
      </c>
      <c r="K12" s="4">
        <v>221624</v>
      </c>
      <c r="L12" s="5">
        <v>0</v>
      </c>
      <c r="M12" s="4">
        <v>2954712</v>
      </c>
      <c r="O12" s="1">
        <v>60</v>
      </c>
      <c r="P12" s="3"/>
      <c r="R12" s="1">
        <v>110</v>
      </c>
      <c r="S12" s="4">
        <v>3451749</v>
      </c>
      <c r="T12" s="6">
        <v>6.5000000000000002E-2</v>
      </c>
      <c r="U12" s="4">
        <v>67228609</v>
      </c>
      <c r="W12" s="1">
        <v>110</v>
      </c>
      <c r="X12" s="3"/>
      <c r="Z12" s="1">
        <v>160</v>
      </c>
      <c r="AA12" s="4">
        <v>76574580</v>
      </c>
      <c r="AB12" s="6">
        <v>6.25E-2</v>
      </c>
      <c r="AC12" s="4">
        <v>1299248862</v>
      </c>
      <c r="AE12" s="1">
        <v>160</v>
      </c>
      <c r="AF12" s="3"/>
    </row>
    <row r="13" spans="2:32" ht="17.25" thickBot="1">
      <c r="B13" s="1">
        <v>11</v>
      </c>
      <c r="C13" s="4">
        <v>1242</v>
      </c>
      <c r="D13" s="5">
        <v>0</v>
      </c>
      <c r="E13" s="4">
        <v>5831</v>
      </c>
      <c r="G13" s="1">
        <v>11</v>
      </c>
      <c r="H13" s="3"/>
      <c r="J13" s="1">
        <v>61</v>
      </c>
      <c r="K13" s="4">
        <v>221624</v>
      </c>
      <c r="L13" s="5">
        <v>0</v>
      </c>
      <c r="M13" s="4">
        <v>3176336</v>
      </c>
      <c r="O13" s="1">
        <v>61</v>
      </c>
      <c r="P13" s="3"/>
      <c r="R13" s="1">
        <v>111</v>
      </c>
      <c r="S13" s="4">
        <v>3676112</v>
      </c>
      <c r="T13" s="6">
        <v>6.5000000000000002E-2</v>
      </c>
      <c r="U13" s="4">
        <v>70904721</v>
      </c>
      <c r="W13" s="1">
        <v>111</v>
      </c>
      <c r="X13" s="3"/>
      <c r="Z13" s="1">
        <v>161</v>
      </c>
      <c r="AA13" s="4">
        <v>81360491</v>
      </c>
      <c r="AB13" s="6">
        <v>6.25E-2</v>
      </c>
      <c r="AC13" s="4">
        <v>1380609353</v>
      </c>
      <c r="AE13" s="1">
        <v>161</v>
      </c>
      <c r="AF13" s="3"/>
    </row>
    <row r="14" spans="2:32" ht="17.25" thickBot="1">
      <c r="B14" s="1">
        <v>12</v>
      </c>
      <c r="C14" s="4">
        <v>1242</v>
      </c>
      <c r="D14" s="5">
        <v>0</v>
      </c>
      <c r="E14" s="4">
        <v>7073</v>
      </c>
      <c r="G14" s="1">
        <v>12</v>
      </c>
      <c r="H14" s="3"/>
      <c r="J14" s="1">
        <v>62</v>
      </c>
      <c r="K14" s="4">
        <v>221624</v>
      </c>
      <c r="L14" s="5">
        <v>0</v>
      </c>
      <c r="M14" s="4">
        <v>3397960</v>
      </c>
      <c r="O14" s="1">
        <v>62</v>
      </c>
      <c r="P14" s="3"/>
      <c r="R14" s="1">
        <v>112</v>
      </c>
      <c r="S14" s="4">
        <v>3915059</v>
      </c>
      <c r="T14" s="6">
        <v>6.5000000000000002E-2</v>
      </c>
      <c r="U14" s="4">
        <v>74819780</v>
      </c>
      <c r="W14" s="1">
        <v>112</v>
      </c>
      <c r="X14" s="3"/>
      <c r="Z14" s="1">
        <v>162</v>
      </c>
      <c r="AA14" s="4">
        <v>86445521</v>
      </c>
      <c r="AB14" s="6">
        <v>6.25E-2</v>
      </c>
      <c r="AC14" s="4">
        <v>1467054874</v>
      </c>
      <c r="AE14" s="1">
        <v>162</v>
      </c>
      <c r="AF14" s="3"/>
    </row>
    <row r="15" spans="2:32" ht="17.25" thickBot="1">
      <c r="B15" s="1">
        <v>13</v>
      </c>
      <c r="C15" s="4">
        <v>1242</v>
      </c>
      <c r="D15" s="5">
        <v>0</v>
      </c>
      <c r="E15" s="4">
        <v>8315</v>
      </c>
      <c r="G15" s="1">
        <v>13</v>
      </c>
      <c r="H15" s="3"/>
      <c r="J15" s="1">
        <v>63</v>
      </c>
      <c r="K15" s="4">
        <v>221624</v>
      </c>
      <c r="L15" s="5">
        <v>0</v>
      </c>
      <c r="M15" s="4">
        <v>3619584</v>
      </c>
      <c r="O15" s="1">
        <v>63</v>
      </c>
      <c r="P15" s="3"/>
      <c r="R15" s="1">
        <v>113</v>
      </c>
      <c r="S15" s="4">
        <v>4169537</v>
      </c>
      <c r="T15" s="6">
        <v>6.5000000000000002E-2</v>
      </c>
      <c r="U15" s="4">
        <v>78989317</v>
      </c>
      <c r="W15" s="1">
        <v>113</v>
      </c>
      <c r="X15" s="3"/>
      <c r="Z15" s="1">
        <v>163</v>
      </c>
      <c r="AA15" s="4">
        <v>91848366</v>
      </c>
      <c r="AB15" s="6">
        <v>6.25E-2</v>
      </c>
      <c r="AC15" s="4">
        <v>1558903240</v>
      </c>
      <c r="AE15" s="1">
        <v>163</v>
      </c>
      <c r="AF15" s="3"/>
    </row>
    <row r="16" spans="2:32" ht="17.25" thickBot="1">
      <c r="B16" s="1">
        <v>14</v>
      </c>
      <c r="C16" s="4">
        <v>1242</v>
      </c>
      <c r="D16" s="5">
        <v>0</v>
      </c>
      <c r="E16" s="4">
        <v>9557</v>
      </c>
      <c r="G16" s="1">
        <v>14</v>
      </c>
      <c r="H16" s="3"/>
      <c r="J16" s="1">
        <v>64</v>
      </c>
      <c r="K16" s="4">
        <v>221624</v>
      </c>
      <c r="L16" s="5">
        <v>0</v>
      </c>
      <c r="M16" s="4">
        <v>3841208</v>
      </c>
      <c r="O16" s="1">
        <v>64</v>
      </c>
      <c r="P16" s="3"/>
      <c r="R16" s="1">
        <v>114</v>
      </c>
      <c r="S16" s="4">
        <v>4440556</v>
      </c>
      <c r="T16" s="6">
        <v>6.5000000000000002E-2</v>
      </c>
      <c r="U16" s="4">
        <v>83429873</v>
      </c>
      <c r="W16" s="1">
        <v>114</v>
      </c>
      <c r="X16" s="3"/>
      <c r="Z16" s="1">
        <v>164</v>
      </c>
      <c r="AA16" s="4">
        <v>97588888</v>
      </c>
      <c r="AB16" s="6">
        <v>6.25E-2</v>
      </c>
      <c r="AC16" s="4">
        <v>1656492128</v>
      </c>
      <c r="AE16" s="1">
        <v>164</v>
      </c>
      <c r="AF16" s="3"/>
    </row>
    <row r="17" spans="2:32" ht="17.25" thickBot="1">
      <c r="B17" s="1">
        <v>15</v>
      </c>
      <c r="C17" s="4">
        <v>1490</v>
      </c>
      <c r="D17" s="5">
        <v>0.2</v>
      </c>
      <c r="E17" s="4">
        <v>11047</v>
      </c>
      <c r="G17" s="1">
        <v>15</v>
      </c>
      <c r="H17" s="3"/>
      <c r="J17" s="1">
        <v>65</v>
      </c>
      <c r="K17" s="4">
        <v>238245</v>
      </c>
      <c r="L17" s="6">
        <v>7.4999999999999997E-2</v>
      </c>
      <c r="M17" s="4">
        <v>4079453</v>
      </c>
      <c r="O17" s="1">
        <v>65</v>
      </c>
      <c r="P17" s="3"/>
      <c r="R17" s="1">
        <v>115</v>
      </c>
      <c r="S17" s="4">
        <v>4729192</v>
      </c>
      <c r="T17" s="6">
        <v>6.5000000000000002E-2</v>
      </c>
      <c r="U17" s="4">
        <v>88159065</v>
      </c>
      <c r="W17" s="1">
        <v>115</v>
      </c>
      <c r="X17" s="3"/>
      <c r="Z17" s="1">
        <v>165</v>
      </c>
      <c r="AA17" s="4">
        <v>103688193</v>
      </c>
      <c r="AB17" s="6">
        <v>6.25E-2</v>
      </c>
      <c r="AC17" s="4">
        <v>1760180321</v>
      </c>
      <c r="AE17" s="1">
        <v>165</v>
      </c>
      <c r="AF17" s="3"/>
    </row>
    <row r="18" spans="2:32" ht="17.25" thickBot="1">
      <c r="B18" s="1">
        <v>16</v>
      </c>
      <c r="C18" s="4">
        <v>1788</v>
      </c>
      <c r="D18" s="5">
        <v>0.2</v>
      </c>
      <c r="E18" s="4">
        <v>12835</v>
      </c>
      <c r="G18" s="1">
        <v>16</v>
      </c>
      <c r="H18" s="3"/>
      <c r="J18" s="1">
        <v>66</v>
      </c>
      <c r="K18" s="4">
        <v>256113</v>
      </c>
      <c r="L18" s="6">
        <v>7.4999999999999997E-2</v>
      </c>
      <c r="M18" s="4">
        <v>4335566</v>
      </c>
      <c r="O18" s="1">
        <v>66</v>
      </c>
      <c r="P18" s="3"/>
      <c r="R18" s="1">
        <v>116</v>
      </c>
      <c r="S18" s="4">
        <v>5036589</v>
      </c>
      <c r="T18" s="6">
        <v>6.5000000000000002E-2</v>
      </c>
      <c r="U18" s="4">
        <v>93195654</v>
      </c>
      <c r="W18" s="1">
        <v>116</v>
      </c>
      <c r="X18" s="3"/>
      <c r="Z18" s="1">
        <v>166</v>
      </c>
      <c r="AA18" s="4">
        <v>110168705</v>
      </c>
      <c r="AB18" s="6">
        <v>6.25E-2</v>
      </c>
      <c r="AC18" s="4">
        <v>1870349026</v>
      </c>
      <c r="AE18" s="1">
        <v>166</v>
      </c>
      <c r="AF18" s="3"/>
    </row>
    <row r="19" spans="2:32" ht="17.25" thickBot="1">
      <c r="B19" s="1">
        <v>17</v>
      </c>
      <c r="C19" s="4">
        <v>2145</v>
      </c>
      <c r="D19" s="5">
        <v>0.2</v>
      </c>
      <c r="E19" s="4">
        <v>14980</v>
      </c>
      <c r="G19" s="1">
        <v>17</v>
      </c>
      <c r="H19" s="3"/>
      <c r="J19" s="1">
        <v>67</v>
      </c>
      <c r="K19" s="4">
        <v>275321</v>
      </c>
      <c r="L19" s="6">
        <v>7.4999999999999997E-2</v>
      </c>
      <c r="M19" s="4">
        <v>4610887</v>
      </c>
      <c r="O19" s="1">
        <v>67</v>
      </c>
      <c r="P19" s="3"/>
      <c r="R19" s="1">
        <v>117</v>
      </c>
      <c r="S19" s="4">
        <v>5363967</v>
      </c>
      <c r="T19" s="6">
        <v>6.5000000000000002E-2</v>
      </c>
      <c r="U19" s="4">
        <v>98559621</v>
      </c>
      <c r="W19" s="1">
        <v>117</v>
      </c>
      <c r="X19" s="3"/>
      <c r="Z19" s="1">
        <v>167</v>
      </c>
      <c r="AA19" s="4">
        <v>117054249</v>
      </c>
      <c r="AB19" s="6">
        <v>6.25E-2</v>
      </c>
      <c r="AC19" s="4">
        <v>1987403275</v>
      </c>
      <c r="AE19" s="1">
        <v>167</v>
      </c>
      <c r="AF19" s="3"/>
    </row>
    <row r="20" spans="2:32" ht="17.25" thickBot="1">
      <c r="B20" s="1">
        <v>18</v>
      </c>
      <c r="C20" s="4">
        <v>2574</v>
      </c>
      <c r="D20" s="5">
        <v>0.2</v>
      </c>
      <c r="E20" s="4">
        <v>17554</v>
      </c>
      <c r="G20" s="1">
        <v>18</v>
      </c>
      <c r="H20" s="3"/>
      <c r="J20" s="1">
        <v>68</v>
      </c>
      <c r="K20" s="4">
        <v>295970</v>
      </c>
      <c r="L20" s="6">
        <v>7.4999999999999997E-2</v>
      </c>
      <c r="M20" s="4">
        <v>4906857</v>
      </c>
      <c r="O20" s="1">
        <v>68</v>
      </c>
      <c r="P20" s="3"/>
      <c r="R20" s="1">
        <v>118</v>
      </c>
      <c r="S20" s="4">
        <v>5712624</v>
      </c>
      <c r="T20" s="6">
        <v>6.5000000000000002E-2</v>
      </c>
      <c r="U20" s="4">
        <v>104272245</v>
      </c>
      <c r="W20" s="1">
        <v>118</v>
      </c>
      <c r="X20" s="3"/>
      <c r="Z20" s="1">
        <v>168</v>
      </c>
      <c r="AA20" s="4">
        <v>124370139</v>
      </c>
      <c r="AB20" s="6">
        <v>6.25E-2</v>
      </c>
      <c r="AC20" s="4">
        <v>2111773414</v>
      </c>
      <c r="AE20" s="1">
        <v>168</v>
      </c>
      <c r="AF20" s="3"/>
    </row>
    <row r="21" spans="2:32" ht="17.25" thickBot="1">
      <c r="B21" s="1">
        <v>19</v>
      </c>
      <c r="C21" s="4">
        <v>3088</v>
      </c>
      <c r="D21" s="5">
        <v>0.2</v>
      </c>
      <c r="E21" s="4">
        <v>20642</v>
      </c>
      <c r="G21" s="1">
        <v>19</v>
      </c>
      <c r="H21" s="3"/>
      <c r="J21" s="1">
        <v>69</v>
      </c>
      <c r="K21" s="4">
        <v>318167</v>
      </c>
      <c r="L21" s="6">
        <v>7.4999999999999997E-2</v>
      </c>
      <c r="M21" s="4">
        <v>5225024</v>
      </c>
      <c r="O21" s="1">
        <v>69</v>
      </c>
      <c r="P21" s="3"/>
      <c r="R21" s="1">
        <v>119</v>
      </c>
      <c r="S21" s="4">
        <v>6083944</v>
      </c>
      <c r="T21" s="6">
        <v>6.5000000000000002E-2</v>
      </c>
      <c r="U21" s="4">
        <v>110356189</v>
      </c>
      <c r="W21" s="1">
        <v>119</v>
      </c>
      <c r="X21" s="3"/>
      <c r="Z21" s="1">
        <v>169</v>
      </c>
      <c r="AA21" s="4">
        <v>132143272</v>
      </c>
      <c r="AB21" s="6">
        <v>6.25E-2</v>
      </c>
      <c r="AC21" s="4">
        <v>2243916686</v>
      </c>
      <c r="AE21" s="1">
        <v>169</v>
      </c>
      <c r="AF21" s="3"/>
    </row>
    <row r="22" spans="2:32" ht="17.25" thickBot="1">
      <c r="B22" s="1">
        <v>20</v>
      </c>
      <c r="C22" s="4">
        <v>3705</v>
      </c>
      <c r="D22" s="5">
        <v>0.2</v>
      </c>
      <c r="E22" s="4">
        <v>24347</v>
      </c>
      <c r="G22" s="1">
        <v>20</v>
      </c>
      <c r="H22" s="3"/>
      <c r="J22" s="1">
        <v>70</v>
      </c>
      <c r="K22" s="4">
        <v>342029</v>
      </c>
      <c r="L22" s="6">
        <v>7.4999999999999997E-2</v>
      </c>
      <c r="M22" s="4">
        <v>5567053</v>
      </c>
      <c r="O22" s="1">
        <v>70</v>
      </c>
      <c r="P22" s="3"/>
      <c r="R22" s="1">
        <v>120</v>
      </c>
      <c r="S22" s="4">
        <v>6479400</v>
      </c>
      <c r="T22" s="6">
        <v>6.5000000000000002E-2</v>
      </c>
      <c r="U22" s="4">
        <v>116835589</v>
      </c>
      <c r="W22" s="1">
        <v>120</v>
      </c>
      <c r="X22" s="3"/>
      <c r="Z22" s="1">
        <v>170</v>
      </c>
      <c r="AA22" s="4">
        <v>138750435</v>
      </c>
      <c r="AB22" s="5">
        <v>0.05</v>
      </c>
      <c r="AC22" s="4">
        <v>2382667121</v>
      </c>
      <c r="AE22" s="1">
        <v>170</v>
      </c>
      <c r="AF22" s="3"/>
    </row>
    <row r="23" spans="2:32" ht="17.25" thickBot="1">
      <c r="B23" s="1">
        <v>21</v>
      </c>
      <c r="C23" s="4">
        <v>4446</v>
      </c>
      <c r="D23" s="5">
        <v>0.2</v>
      </c>
      <c r="E23" s="4">
        <v>28793</v>
      </c>
      <c r="G23" s="1">
        <v>21</v>
      </c>
      <c r="H23" s="3"/>
      <c r="J23" s="1">
        <v>71</v>
      </c>
      <c r="K23" s="4">
        <v>367681</v>
      </c>
      <c r="L23" s="6">
        <v>7.4999999999999997E-2</v>
      </c>
      <c r="M23" s="4">
        <v>5934734</v>
      </c>
      <c r="O23" s="1">
        <v>71</v>
      </c>
      <c r="P23" s="3"/>
      <c r="R23" s="1">
        <v>121</v>
      </c>
      <c r="S23" s="4">
        <v>6900561</v>
      </c>
      <c r="T23" s="6">
        <v>6.5000000000000002E-2</v>
      </c>
      <c r="U23" s="4">
        <v>123736150</v>
      </c>
      <c r="W23" s="1">
        <v>121</v>
      </c>
      <c r="X23" s="3"/>
      <c r="Z23" s="1">
        <v>171</v>
      </c>
      <c r="AA23" s="4">
        <v>145687956</v>
      </c>
      <c r="AB23" s="5">
        <v>0.05</v>
      </c>
      <c r="AC23" s="4">
        <v>2528355077</v>
      </c>
      <c r="AE23" s="1">
        <v>171</v>
      </c>
      <c r="AF23" s="3"/>
    </row>
    <row r="24" spans="2:32" ht="17.25" thickBot="1">
      <c r="B24" s="1">
        <v>22</v>
      </c>
      <c r="C24" s="4">
        <v>5335</v>
      </c>
      <c r="D24" s="5">
        <v>0.2</v>
      </c>
      <c r="E24" s="4">
        <v>34128</v>
      </c>
      <c r="G24" s="1">
        <v>22</v>
      </c>
      <c r="H24" s="3"/>
      <c r="J24" s="1">
        <v>72</v>
      </c>
      <c r="K24" s="4">
        <v>395257</v>
      </c>
      <c r="L24" s="6">
        <v>7.4999999999999997E-2</v>
      </c>
      <c r="M24" s="4">
        <v>6329991</v>
      </c>
      <c r="O24" s="1">
        <v>72</v>
      </c>
      <c r="P24" s="3"/>
      <c r="R24" s="1">
        <v>122</v>
      </c>
      <c r="S24" s="4">
        <v>7349097</v>
      </c>
      <c r="T24" s="6">
        <v>6.5000000000000002E-2</v>
      </c>
      <c r="U24" s="4">
        <v>131085247</v>
      </c>
      <c r="W24" s="1">
        <v>122</v>
      </c>
      <c r="X24" s="3"/>
      <c r="Z24" s="1">
        <v>172</v>
      </c>
      <c r="AA24" s="4">
        <v>152972353</v>
      </c>
      <c r="AB24" s="5">
        <v>0.05</v>
      </c>
      <c r="AC24" s="4">
        <v>2681327430</v>
      </c>
      <c r="AE24" s="1">
        <v>172</v>
      </c>
      <c r="AF24" s="3"/>
    </row>
    <row r="25" spans="2:32" ht="17.25" thickBot="1">
      <c r="B25" s="1">
        <v>23</v>
      </c>
      <c r="C25" s="4">
        <v>6402</v>
      </c>
      <c r="D25" s="5">
        <v>0.2</v>
      </c>
      <c r="E25" s="4">
        <v>40530</v>
      </c>
      <c r="G25" s="1">
        <v>23</v>
      </c>
      <c r="H25" s="3"/>
      <c r="J25" s="1">
        <v>73</v>
      </c>
      <c r="K25" s="4">
        <v>424901</v>
      </c>
      <c r="L25" s="6">
        <v>7.4999999999999997E-2</v>
      </c>
      <c r="M25" s="4">
        <v>6754892</v>
      </c>
      <c r="O25" s="1">
        <v>73</v>
      </c>
      <c r="P25" s="3"/>
      <c r="R25" s="1">
        <v>123</v>
      </c>
      <c r="S25" s="4">
        <v>7826788</v>
      </c>
      <c r="T25" s="6">
        <v>6.5000000000000002E-2</v>
      </c>
      <c r="U25" s="4">
        <v>138912035</v>
      </c>
      <c r="W25" s="1">
        <v>123</v>
      </c>
      <c r="X25" s="3"/>
      <c r="Z25" s="1">
        <v>173</v>
      </c>
      <c r="AA25" s="4">
        <v>160620970</v>
      </c>
      <c r="AB25" s="5">
        <v>0.05</v>
      </c>
      <c r="AC25" s="4">
        <v>2841948400</v>
      </c>
      <c r="AE25" s="1">
        <v>173</v>
      </c>
      <c r="AF25" s="3"/>
    </row>
    <row r="26" spans="2:32" ht="17.25" thickBot="1">
      <c r="B26" s="1">
        <v>24</v>
      </c>
      <c r="C26" s="4">
        <v>7682</v>
      </c>
      <c r="D26" s="5">
        <v>0.2</v>
      </c>
      <c r="E26" s="4">
        <v>48212</v>
      </c>
      <c r="G26" s="1">
        <v>24</v>
      </c>
      <c r="H26" s="3"/>
      <c r="J26" s="1">
        <v>74</v>
      </c>
      <c r="K26" s="4">
        <v>456768</v>
      </c>
      <c r="L26" s="6">
        <v>7.4999999999999997E-2</v>
      </c>
      <c r="M26" s="4">
        <v>7211660</v>
      </c>
      <c r="O26" s="1">
        <v>74</v>
      </c>
      <c r="P26" s="3"/>
      <c r="R26" s="1">
        <v>124</v>
      </c>
      <c r="S26" s="4">
        <v>8335529</v>
      </c>
      <c r="T26" s="6">
        <v>6.5000000000000002E-2</v>
      </c>
      <c r="U26" s="4">
        <v>147247564</v>
      </c>
      <c r="W26" s="1">
        <v>124</v>
      </c>
      <c r="X26" s="3"/>
      <c r="Z26" s="1">
        <v>174</v>
      </c>
      <c r="AA26" s="4">
        <v>168652018</v>
      </c>
      <c r="AB26" s="5">
        <v>0.05</v>
      </c>
      <c r="AC26" s="4">
        <v>3010600418</v>
      </c>
      <c r="AE26" s="1">
        <v>174</v>
      </c>
      <c r="AF26" s="3"/>
    </row>
    <row r="27" spans="2:32" ht="17.25" thickBot="1">
      <c r="B27" s="1">
        <v>25</v>
      </c>
      <c r="C27" s="4">
        <v>9218</v>
      </c>
      <c r="D27" s="5">
        <v>0.2</v>
      </c>
      <c r="E27" s="4">
        <v>57430</v>
      </c>
      <c r="G27" s="1">
        <v>25</v>
      </c>
      <c r="H27" s="3"/>
      <c r="J27" s="1">
        <v>75</v>
      </c>
      <c r="K27" s="4">
        <v>488741</v>
      </c>
      <c r="L27" s="5">
        <v>7.0000000000000007E-2</v>
      </c>
      <c r="M27" s="4">
        <v>7700401</v>
      </c>
      <c r="O27" s="1">
        <v>75</v>
      </c>
      <c r="P27" s="3"/>
      <c r="R27" s="1">
        <v>125</v>
      </c>
      <c r="S27" s="4">
        <v>8877338</v>
      </c>
      <c r="T27" s="6">
        <v>6.5000000000000002E-2</v>
      </c>
      <c r="U27" s="4">
        <v>156124902</v>
      </c>
      <c r="W27" s="1">
        <v>125</v>
      </c>
      <c r="X27" s="3"/>
      <c r="Z27" s="1">
        <v>175</v>
      </c>
      <c r="AA27" s="4">
        <v>177084618</v>
      </c>
      <c r="AB27" s="5">
        <v>0.05</v>
      </c>
      <c r="AC27" s="4">
        <v>3187685036</v>
      </c>
      <c r="AE27" s="1">
        <v>175</v>
      </c>
      <c r="AF27" s="3"/>
    </row>
    <row r="28" spans="2:32" ht="17.25" thickBot="1">
      <c r="B28" s="1">
        <v>26</v>
      </c>
      <c r="C28" s="4">
        <v>11061</v>
      </c>
      <c r="D28" s="5">
        <v>0.2</v>
      </c>
      <c r="E28" s="4">
        <v>68491</v>
      </c>
      <c r="G28" s="1">
        <v>26</v>
      </c>
      <c r="H28" s="3"/>
      <c r="J28" s="1">
        <v>76</v>
      </c>
      <c r="K28" s="4">
        <v>522952</v>
      </c>
      <c r="L28" s="5">
        <v>7.0000000000000007E-2</v>
      </c>
      <c r="M28" s="4">
        <v>8223353</v>
      </c>
      <c r="O28" s="1">
        <v>76</v>
      </c>
      <c r="P28" s="3"/>
      <c r="R28" s="1">
        <v>126</v>
      </c>
      <c r="S28" s="4">
        <v>9454364</v>
      </c>
      <c r="T28" s="6">
        <v>6.5000000000000002E-2</v>
      </c>
      <c r="U28" s="4">
        <v>165579266</v>
      </c>
      <c r="W28" s="1">
        <v>126</v>
      </c>
      <c r="X28" s="3"/>
      <c r="Z28" s="1">
        <v>176</v>
      </c>
      <c r="AA28" s="4">
        <v>185938848</v>
      </c>
      <c r="AB28" s="5">
        <v>0.05</v>
      </c>
      <c r="AC28" s="4">
        <v>3373623884</v>
      </c>
      <c r="AE28" s="1">
        <v>176</v>
      </c>
      <c r="AF28" s="3"/>
    </row>
    <row r="29" spans="2:32" ht="17.25" thickBot="1">
      <c r="B29" s="1">
        <v>27</v>
      </c>
      <c r="C29" s="4">
        <v>13273</v>
      </c>
      <c r="D29" s="5">
        <v>0.2</v>
      </c>
      <c r="E29" s="4">
        <v>81764</v>
      </c>
      <c r="G29" s="1">
        <v>27</v>
      </c>
      <c r="H29" s="3"/>
      <c r="J29" s="1">
        <v>77</v>
      </c>
      <c r="K29" s="4">
        <v>559558</v>
      </c>
      <c r="L29" s="5">
        <v>7.0000000000000007E-2</v>
      </c>
      <c r="M29" s="4">
        <v>8782911</v>
      </c>
      <c r="O29" s="1">
        <v>77</v>
      </c>
      <c r="P29" s="3"/>
      <c r="R29" s="1">
        <v>127</v>
      </c>
      <c r="S29" s="4">
        <v>10068897</v>
      </c>
      <c r="T29" s="6">
        <v>6.5000000000000002E-2</v>
      </c>
      <c r="U29" s="4">
        <v>175648163</v>
      </c>
      <c r="W29" s="1">
        <v>127</v>
      </c>
      <c r="X29" s="3"/>
      <c r="Z29" s="1">
        <v>177</v>
      </c>
      <c r="AA29" s="4">
        <v>195235790</v>
      </c>
      <c r="AB29" s="5">
        <v>0.05</v>
      </c>
      <c r="AC29" s="4">
        <v>3568859674</v>
      </c>
      <c r="AE29" s="1">
        <v>177</v>
      </c>
      <c r="AF29" s="3"/>
    </row>
    <row r="30" spans="2:32" ht="17.25" thickBot="1">
      <c r="B30" s="1">
        <v>28</v>
      </c>
      <c r="C30" s="4">
        <v>15927</v>
      </c>
      <c r="D30" s="5">
        <v>0.2</v>
      </c>
      <c r="E30" s="4">
        <v>97691</v>
      </c>
      <c r="G30" s="1">
        <v>28</v>
      </c>
      <c r="H30" s="3"/>
      <c r="J30" s="1">
        <v>78</v>
      </c>
      <c r="K30" s="4">
        <v>598727</v>
      </c>
      <c r="L30" s="5">
        <v>7.0000000000000007E-2</v>
      </c>
      <c r="M30" s="4">
        <v>9381638</v>
      </c>
      <c r="O30" s="1">
        <v>78</v>
      </c>
      <c r="P30" s="3"/>
      <c r="R30" s="1">
        <v>128</v>
      </c>
      <c r="S30" s="4">
        <v>10723375</v>
      </c>
      <c r="T30" s="6">
        <v>6.5000000000000002E-2</v>
      </c>
      <c r="U30" s="4">
        <v>186371538</v>
      </c>
      <c r="W30" s="1">
        <v>128</v>
      </c>
      <c r="X30" s="3"/>
      <c r="Z30" s="1">
        <v>178</v>
      </c>
      <c r="AA30" s="4">
        <v>204997579</v>
      </c>
      <c r="AB30" s="5">
        <v>0.05</v>
      </c>
      <c r="AC30" s="4">
        <v>3773857253</v>
      </c>
      <c r="AE30" s="1">
        <v>178</v>
      </c>
      <c r="AF30" s="3"/>
    </row>
    <row r="31" spans="2:32" ht="17.25" thickBot="1">
      <c r="B31" s="1">
        <v>29</v>
      </c>
      <c r="C31" s="4">
        <v>19112</v>
      </c>
      <c r="D31" s="5">
        <v>0.2</v>
      </c>
      <c r="E31" s="4">
        <v>116803</v>
      </c>
      <c r="G31" s="1">
        <v>29</v>
      </c>
      <c r="H31" s="3"/>
      <c r="J31" s="1">
        <v>79</v>
      </c>
      <c r="K31" s="4">
        <v>640637</v>
      </c>
      <c r="L31" s="5">
        <v>7.0000000000000007E-2</v>
      </c>
      <c r="M31" s="4">
        <v>10022275</v>
      </c>
      <c r="O31" s="1">
        <v>79</v>
      </c>
      <c r="P31" s="3"/>
      <c r="R31" s="1">
        <v>129</v>
      </c>
      <c r="S31" s="4">
        <v>11420394</v>
      </c>
      <c r="T31" s="6">
        <v>6.5000000000000002E-2</v>
      </c>
      <c r="U31" s="4">
        <v>197791932</v>
      </c>
      <c r="W31" s="1">
        <v>129</v>
      </c>
      <c r="X31" s="3"/>
      <c r="Z31" s="1">
        <v>179</v>
      </c>
      <c r="AA31" s="4">
        <v>215247457</v>
      </c>
      <c r="AB31" s="5">
        <v>0.05</v>
      </c>
      <c r="AC31" s="4">
        <v>3989104710</v>
      </c>
      <c r="AE31" s="1">
        <v>179</v>
      </c>
      <c r="AF31" s="3"/>
    </row>
    <row r="32" spans="2:32" ht="17.25" thickBot="1">
      <c r="B32" s="1">
        <v>30</v>
      </c>
      <c r="C32" s="4">
        <v>19112</v>
      </c>
      <c r="D32" s="5">
        <v>0</v>
      </c>
      <c r="E32" s="4">
        <v>135915</v>
      </c>
      <c r="G32" s="1">
        <v>30</v>
      </c>
      <c r="H32" s="3"/>
      <c r="J32" s="1">
        <v>80</v>
      </c>
      <c r="K32" s="4">
        <v>685481</v>
      </c>
      <c r="L32" s="5">
        <v>7.0000000000000007E-2</v>
      </c>
      <c r="M32" s="4">
        <v>10707756</v>
      </c>
      <c r="O32" s="1">
        <v>80</v>
      </c>
      <c r="P32" s="3"/>
      <c r="R32" s="1">
        <v>130</v>
      </c>
      <c r="S32" s="4">
        <v>12162719</v>
      </c>
      <c r="T32" s="6">
        <v>6.5000000000000002E-2</v>
      </c>
      <c r="U32" s="4">
        <v>209954651</v>
      </c>
      <c r="W32" s="1">
        <v>130</v>
      </c>
      <c r="X32" s="3"/>
      <c r="Z32" s="1">
        <v>180</v>
      </c>
      <c r="AA32" s="4">
        <v>226009829</v>
      </c>
      <c r="AB32" s="5">
        <v>0.05</v>
      </c>
      <c r="AC32" s="4">
        <v>4215114539</v>
      </c>
      <c r="AE32" s="1">
        <v>180</v>
      </c>
      <c r="AF32" s="3"/>
    </row>
    <row r="33" spans="2:32" ht="17.25" thickBot="1">
      <c r="B33" s="1">
        <v>31</v>
      </c>
      <c r="C33" s="4">
        <v>19112</v>
      </c>
      <c r="D33" s="5">
        <v>0</v>
      </c>
      <c r="E33" s="4">
        <v>155027</v>
      </c>
      <c r="G33" s="1">
        <v>31</v>
      </c>
      <c r="H33" s="3"/>
      <c r="J33" s="1">
        <v>81</v>
      </c>
      <c r="K33" s="4">
        <v>733464</v>
      </c>
      <c r="L33" s="5">
        <v>7.0000000000000007E-2</v>
      </c>
      <c r="M33" s="4">
        <v>11441220</v>
      </c>
      <c r="O33" s="1">
        <v>81</v>
      </c>
      <c r="P33" s="3"/>
      <c r="R33" s="1">
        <v>131</v>
      </c>
      <c r="S33" s="4">
        <v>12953295</v>
      </c>
      <c r="T33" s="6">
        <v>6.5000000000000002E-2</v>
      </c>
      <c r="U33" s="4">
        <v>222907946</v>
      </c>
      <c r="W33" s="1">
        <v>131</v>
      </c>
      <c r="X33" s="3"/>
      <c r="Z33" s="1">
        <v>181</v>
      </c>
      <c r="AA33" s="4">
        <v>237310320</v>
      </c>
      <c r="AB33" s="5">
        <v>0.05</v>
      </c>
      <c r="AC33" s="4">
        <v>4452424859</v>
      </c>
      <c r="AE33" s="1">
        <v>181</v>
      </c>
      <c r="AF33" s="3"/>
    </row>
    <row r="34" spans="2:32" ht="17.25" thickBot="1">
      <c r="B34" s="1">
        <v>32</v>
      </c>
      <c r="C34" s="4">
        <v>19112</v>
      </c>
      <c r="D34" s="5">
        <v>0</v>
      </c>
      <c r="E34" s="4">
        <v>174139</v>
      </c>
      <c r="G34" s="1">
        <v>32</v>
      </c>
      <c r="H34" s="3"/>
      <c r="J34" s="1">
        <v>82</v>
      </c>
      <c r="K34" s="4">
        <v>784806</v>
      </c>
      <c r="L34" s="5">
        <v>7.0000000000000007E-2</v>
      </c>
      <c r="M34" s="4">
        <v>12226026</v>
      </c>
      <c r="O34" s="1">
        <v>82</v>
      </c>
      <c r="P34" s="3"/>
      <c r="R34" s="1">
        <v>132</v>
      </c>
      <c r="S34" s="4">
        <v>13795259</v>
      </c>
      <c r="T34" s="6">
        <v>6.5000000000000002E-2</v>
      </c>
      <c r="U34" s="4">
        <v>236703205</v>
      </c>
      <c r="W34" s="1">
        <v>132</v>
      </c>
      <c r="X34" s="3"/>
      <c r="Z34" s="1">
        <v>182</v>
      </c>
      <c r="AA34" s="4">
        <v>249175836</v>
      </c>
      <c r="AB34" s="5">
        <v>0.05</v>
      </c>
      <c r="AC34" s="4">
        <v>4701600695</v>
      </c>
      <c r="AE34" s="1">
        <v>182</v>
      </c>
      <c r="AF34" s="3"/>
    </row>
    <row r="35" spans="2:32" ht="17.25" thickBot="1">
      <c r="B35" s="1">
        <v>33</v>
      </c>
      <c r="C35" s="4">
        <v>19112</v>
      </c>
      <c r="D35" s="5">
        <v>0</v>
      </c>
      <c r="E35" s="4">
        <v>193251</v>
      </c>
      <c r="G35" s="1">
        <v>33</v>
      </c>
      <c r="H35" s="3"/>
      <c r="J35" s="1">
        <v>83</v>
      </c>
      <c r="K35" s="4">
        <v>839742</v>
      </c>
      <c r="L35" s="5">
        <v>7.0000000000000007E-2</v>
      </c>
      <c r="M35" s="4">
        <v>13065768</v>
      </c>
      <c r="O35" s="1">
        <v>83</v>
      </c>
      <c r="P35" s="3"/>
      <c r="R35" s="1">
        <v>133</v>
      </c>
      <c r="S35" s="4">
        <v>14691950</v>
      </c>
      <c r="T35" s="6">
        <v>6.5000000000000002E-2</v>
      </c>
      <c r="U35" s="4">
        <v>251395155</v>
      </c>
      <c r="W35" s="1">
        <v>133</v>
      </c>
      <c r="X35" s="3"/>
      <c r="Z35" s="1">
        <v>183</v>
      </c>
      <c r="AA35" s="4">
        <v>261634627</v>
      </c>
      <c r="AB35" s="5">
        <v>0.05</v>
      </c>
      <c r="AC35" s="4">
        <v>4963235322</v>
      </c>
      <c r="AE35" s="1">
        <v>183</v>
      </c>
      <c r="AF35" s="3"/>
    </row>
    <row r="36" spans="2:32" ht="17.25" thickBot="1">
      <c r="B36" s="1">
        <v>34</v>
      </c>
      <c r="C36" s="4">
        <v>19112</v>
      </c>
      <c r="D36" s="5">
        <v>0</v>
      </c>
      <c r="E36" s="4">
        <v>212363</v>
      </c>
      <c r="G36" s="1">
        <v>34</v>
      </c>
      <c r="H36" s="3"/>
      <c r="J36" s="1">
        <v>84</v>
      </c>
      <c r="K36" s="4">
        <v>898523</v>
      </c>
      <c r="L36" s="5">
        <v>7.0000000000000007E-2</v>
      </c>
      <c r="M36" s="4">
        <v>13964291</v>
      </c>
      <c r="O36" s="1">
        <v>84</v>
      </c>
      <c r="P36" s="3"/>
      <c r="R36" s="1">
        <v>134</v>
      </c>
      <c r="S36" s="4">
        <v>15646926</v>
      </c>
      <c r="T36" s="6">
        <v>6.5000000000000002E-2</v>
      </c>
      <c r="U36" s="4">
        <v>267042081</v>
      </c>
      <c r="W36" s="1">
        <v>134</v>
      </c>
      <c r="X36" s="3"/>
      <c r="Z36" s="1">
        <v>184</v>
      </c>
      <c r="AA36" s="4">
        <v>274716358</v>
      </c>
      <c r="AB36" s="5">
        <v>0.05</v>
      </c>
      <c r="AC36" s="4">
        <v>5237951680</v>
      </c>
      <c r="AE36" s="1">
        <v>184</v>
      </c>
      <c r="AF36" s="3"/>
    </row>
    <row r="37" spans="2:32" ht="17.25" thickBot="1">
      <c r="B37" s="1">
        <v>35</v>
      </c>
      <c r="C37" s="4">
        <v>22934</v>
      </c>
      <c r="D37" s="5">
        <v>0.2</v>
      </c>
      <c r="E37" s="4">
        <v>235297</v>
      </c>
      <c r="G37" s="1">
        <v>35</v>
      </c>
      <c r="H37" s="3"/>
      <c r="J37" s="1">
        <v>85</v>
      </c>
      <c r="K37" s="4">
        <v>961419</v>
      </c>
      <c r="L37" s="5">
        <v>7.0000000000000007E-2</v>
      </c>
      <c r="M37" s="4">
        <v>14925710</v>
      </c>
      <c r="O37" s="1">
        <v>85</v>
      </c>
      <c r="P37" s="3"/>
      <c r="R37" s="1">
        <v>135</v>
      </c>
      <c r="S37" s="4">
        <v>16663976</v>
      </c>
      <c r="T37" s="6">
        <v>6.5000000000000002E-2</v>
      </c>
      <c r="U37" s="4">
        <v>283706057</v>
      </c>
      <c r="W37" s="1">
        <v>135</v>
      </c>
      <c r="X37" s="3"/>
      <c r="Z37" s="1">
        <v>185</v>
      </c>
      <c r="AA37" s="4">
        <v>288452175</v>
      </c>
      <c r="AB37" s="5">
        <v>0.05</v>
      </c>
      <c r="AC37" s="4">
        <v>5526403855</v>
      </c>
      <c r="AE37" s="1">
        <v>185</v>
      </c>
      <c r="AF37" s="3"/>
    </row>
    <row r="38" spans="2:32" ht="17.25" thickBot="1">
      <c r="B38" s="1">
        <v>36</v>
      </c>
      <c r="C38" s="4">
        <v>27520</v>
      </c>
      <c r="D38" s="5">
        <v>0.2</v>
      </c>
      <c r="E38" s="4">
        <v>262817</v>
      </c>
      <c r="G38" s="1">
        <v>36</v>
      </c>
      <c r="H38" s="3"/>
      <c r="J38" s="1">
        <v>86</v>
      </c>
      <c r="K38" s="4">
        <v>1028718</v>
      </c>
      <c r="L38" s="5">
        <v>7.0000000000000007E-2</v>
      </c>
      <c r="M38" s="4">
        <v>15954428</v>
      </c>
      <c r="O38" s="1">
        <v>86</v>
      </c>
      <c r="P38" s="3"/>
      <c r="R38" s="1">
        <v>136</v>
      </c>
      <c r="S38" s="4">
        <v>17747134</v>
      </c>
      <c r="T38" s="6">
        <v>6.5000000000000002E-2</v>
      </c>
      <c r="U38" s="4">
        <v>301453191</v>
      </c>
      <c r="W38" s="1">
        <v>136</v>
      </c>
      <c r="X38" s="3"/>
      <c r="Z38" s="1">
        <v>186</v>
      </c>
      <c r="AA38" s="4">
        <v>302874783</v>
      </c>
      <c r="AB38" s="5">
        <v>0.05</v>
      </c>
      <c r="AC38" s="4">
        <v>5829278638</v>
      </c>
      <c r="AE38" s="1">
        <v>186</v>
      </c>
      <c r="AF38" s="3"/>
    </row>
    <row r="39" spans="2:32" ht="17.25" thickBot="1">
      <c r="B39" s="1">
        <v>37</v>
      </c>
      <c r="C39" s="4">
        <v>33024</v>
      </c>
      <c r="D39" s="5">
        <v>0.2</v>
      </c>
      <c r="E39" s="4">
        <v>295841</v>
      </c>
      <c r="G39" s="1">
        <v>37</v>
      </c>
      <c r="H39" s="3"/>
      <c r="J39" s="1">
        <v>87</v>
      </c>
      <c r="K39" s="4">
        <v>1100728</v>
      </c>
      <c r="L39" s="5">
        <v>7.0000000000000007E-2</v>
      </c>
      <c r="M39" s="4">
        <v>17055156</v>
      </c>
      <c r="O39" s="1">
        <v>87</v>
      </c>
      <c r="P39" s="3"/>
      <c r="R39" s="1">
        <v>137</v>
      </c>
      <c r="S39" s="4">
        <v>18900697</v>
      </c>
      <c r="T39" s="6">
        <v>6.5000000000000002E-2</v>
      </c>
      <c r="U39" s="4">
        <v>320353888</v>
      </c>
      <c r="W39" s="1">
        <v>137</v>
      </c>
      <c r="X39" s="3"/>
      <c r="Z39" s="1">
        <v>187</v>
      </c>
      <c r="AA39" s="4">
        <v>318018522</v>
      </c>
      <c r="AB39" s="5">
        <v>0.05</v>
      </c>
      <c r="AC39" s="4">
        <v>6147297160</v>
      </c>
      <c r="AE39" s="1">
        <v>187</v>
      </c>
      <c r="AF39" s="3"/>
    </row>
    <row r="40" spans="2:32" ht="17.25" thickBot="1">
      <c r="B40" s="1">
        <v>38</v>
      </c>
      <c r="C40" s="4">
        <v>39628</v>
      </c>
      <c r="D40" s="5">
        <v>0.2</v>
      </c>
      <c r="E40" s="4">
        <v>335469</v>
      </c>
      <c r="G40" s="1">
        <v>38</v>
      </c>
      <c r="H40" s="3"/>
      <c r="J40" s="1">
        <v>88</v>
      </c>
      <c r="K40" s="4">
        <v>1177778</v>
      </c>
      <c r="L40" s="5">
        <v>7.0000000000000007E-2</v>
      </c>
      <c r="M40" s="4">
        <v>18232934</v>
      </c>
      <c r="O40" s="1">
        <v>88</v>
      </c>
      <c r="P40" s="3"/>
      <c r="R40" s="1">
        <v>138</v>
      </c>
      <c r="S40" s="4">
        <v>20129242</v>
      </c>
      <c r="T40" s="6">
        <v>6.5000000000000002E-2</v>
      </c>
      <c r="U40" s="4">
        <v>340483130</v>
      </c>
      <c r="W40" s="1">
        <v>138</v>
      </c>
      <c r="X40" s="3"/>
      <c r="Z40" s="1">
        <v>188</v>
      </c>
      <c r="AA40" s="4">
        <v>333919448</v>
      </c>
      <c r="AB40" s="5">
        <v>0.05</v>
      </c>
      <c r="AC40" s="4">
        <v>6481216608</v>
      </c>
      <c r="AE40" s="1">
        <v>188</v>
      </c>
      <c r="AF40" s="3"/>
    </row>
    <row r="41" spans="2:32" ht="17.25" thickBot="1">
      <c r="B41" s="1">
        <v>39</v>
      </c>
      <c r="C41" s="4">
        <v>47553</v>
      </c>
      <c r="D41" s="5">
        <v>0.2</v>
      </c>
      <c r="E41" s="4">
        <v>383022</v>
      </c>
      <c r="G41" s="1">
        <v>39</v>
      </c>
      <c r="H41" s="3"/>
      <c r="J41" s="1">
        <v>89</v>
      </c>
      <c r="K41" s="4">
        <v>1260222</v>
      </c>
      <c r="L41" s="5">
        <v>7.0000000000000007E-2</v>
      </c>
      <c r="M41" s="4">
        <v>19493156</v>
      </c>
      <c r="O41" s="1">
        <v>89</v>
      </c>
      <c r="P41" s="3"/>
      <c r="R41" s="1">
        <v>139</v>
      </c>
      <c r="S41" s="4">
        <v>21437642</v>
      </c>
      <c r="T41" s="6">
        <v>6.5000000000000002E-2</v>
      </c>
      <c r="U41" s="4">
        <v>361920772</v>
      </c>
      <c r="W41" s="1">
        <v>139</v>
      </c>
      <c r="X41" s="3"/>
      <c r="Z41" s="1">
        <v>189</v>
      </c>
      <c r="AA41" s="4">
        <v>350615420</v>
      </c>
      <c r="AB41" s="5">
        <v>0.05</v>
      </c>
      <c r="AC41" s="4">
        <v>6831832028</v>
      </c>
      <c r="AE41" s="1">
        <v>189</v>
      </c>
      <c r="AF41" s="3"/>
    </row>
    <row r="42" spans="2:32" ht="17.25" thickBot="1">
      <c r="B42" s="1">
        <v>40</v>
      </c>
      <c r="C42" s="4">
        <v>51357</v>
      </c>
      <c r="D42" s="5">
        <v>0.08</v>
      </c>
      <c r="E42" s="4">
        <v>434379</v>
      </c>
      <c r="G42" s="1">
        <v>40</v>
      </c>
      <c r="H42" s="3"/>
      <c r="J42" s="1">
        <v>90</v>
      </c>
      <c r="K42" s="4">
        <v>1342136</v>
      </c>
      <c r="L42" s="6">
        <v>6.5000000000000002E-2</v>
      </c>
      <c r="M42" s="4">
        <v>20835292</v>
      </c>
      <c r="O42" s="1">
        <v>90</v>
      </c>
      <c r="P42" s="3"/>
      <c r="R42" s="1">
        <v>140</v>
      </c>
      <c r="S42" s="4">
        <v>22777494</v>
      </c>
      <c r="T42" s="6">
        <v>6.25E-2</v>
      </c>
      <c r="U42" s="4">
        <v>384698266</v>
      </c>
      <c r="W42" s="1">
        <v>140</v>
      </c>
      <c r="X42" s="3"/>
      <c r="Z42" s="1">
        <v>190</v>
      </c>
      <c r="AA42" s="4">
        <v>368146191</v>
      </c>
      <c r="AB42" s="5">
        <v>0.05</v>
      </c>
      <c r="AC42" s="4">
        <v>7199978219</v>
      </c>
      <c r="AE42" s="1">
        <v>190</v>
      </c>
      <c r="AF42" s="3"/>
    </row>
    <row r="43" spans="2:32" ht="17.25" thickBot="1">
      <c r="B43" s="1">
        <v>41</v>
      </c>
      <c r="C43" s="4">
        <v>55465</v>
      </c>
      <c r="D43" s="5">
        <v>0.08</v>
      </c>
      <c r="E43" s="4">
        <v>489844</v>
      </c>
      <c r="G43" s="1">
        <v>41</v>
      </c>
      <c r="H43" s="3"/>
      <c r="J43" s="1">
        <v>91</v>
      </c>
      <c r="K43" s="4">
        <v>1429374</v>
      </c>
      <c r="L43" s="6">
        <v>6.5000000000000002E-2</v>
      </c>
      <c r="M43" s="4">
        <v>22264666</v>
      </c>
      <c r="O43" s="1">
        <v>91</v>
      </c>
      <c r="P43" s="3"/>
      <c r="R43" s="1">
        <v>141</v>
      </c>
      <c r="S43" s="4">
        <v>24201087</v>
      </c>
      <c r="T43" s="6">
        <v>6.25E-2</v>
      </c>
      <c r="U43" s="4">
        <v>408899353</v>
      </c>
      <c r="W43" s="1">
        <v>141</v>
      </c>
      <c r="X43" s="3"/>
      <c r="Z43" s="1">
        <v>191</v>
      </c>
      <c r="AA43" s="4">
        <v>386553500</v>
      </c>
      <c r="AB43" s="5">
        <v>0.05</v>
      </c>
      <c r="AC43" s="4">
        <v>7586531719</v>
      </c>
      <c r="AE43" s="1">
        <v>191</v>
      </c>
      <c r="AF43" s="3"/>
    </row>
    <row r="44" spans="2:32" ht="17.25" thickBot="1">
      <c r="B44" s="1">
        <v>42</v>
      </c>
      <c r="C44" s="4">
        <v>59902</v>
      </c>
      <c r="D44" s="5">
        <v>0.08</v>
      </c>
      <c r="E44" s="4">
        <v>549746</v>
      </c>
      <c r="G44" s="1">
        <v>42</v>
      </c>
      <c r="H44" s="3"/>
      <c r="J44" s="1">
        <v>92</v>
      </c>
      <c r="K44" s="4">
        <v>1522283</v>
      </c>
      <c r="L44" s="6">
        <v>6.5000000000000002E-2</v>
      </c>
      <c r="M44" s="4">
        <v>23786949</v>
      </c>
      <c r="O44" s="1">
        <v>92</v>
      </c>
      <c r="P44" s="3"/>
      <c r="R44" s="1">
        <v>142</v>
      </c>
      <c r="S44" s="4">
        <v>25713654</v>
      </c>
      <c r="T44" s="6">
        <v>6.25E-2</v>
      </c>
      <c r="U44" s="4">
        <v>434613007</v>
      </c>
      <c r="W44" s="1">
        <v>142</v>
      </c>
      <c r="X44" s="3"/>
      <c r="Z44" s="1">
        <v>192</v>
      </c>
      <c r="AA44" s="4">
        <v>405881175</v>
      </c>
      <c r="AB44" s="5">
        <v>0.05</v>
      </c>
      <c r="AC44" s="4">
        <v>7992412894</v>
      </c>
      <c r="AE44" s="1">
        <v>192</v>
      </c>
      <c r="AF44" s="3"/>
    </row>
    <row r="45" spans="2:32" ht="17.25" thickBot="1">
      <c r="B45" s="1">
        <v>43</v>
      </c>
      <c r="C45" s="4">
        <v>64694</v>
      </c>
      <c r="D45" s="5">
        <v>0.08</v>
      </c>
      <c r="E45" s="4">
        <v>614440</v>
      </c>
      <c r="G45" s="1">
        <v>43</v>
      </c>
      <c r="H45" s="3"/>
      <c r="J45" s="1">
        <v>93</v>
      </c>
      <c r="K45" s="4">
        <v>1621231</v>
      </c>
      <c r="L45" s="6">
        <v>6.5000000000000002E-2</v>
      </c>
      <c r="M45" s="4">
        <v>25408180</v>
      </c>
      <c r="O45" s="1">
        <v>93</v>
      </c>
      <c r="P45" s="3"/>
      <c r="R45" s="1">
        <v>143</v>
      </c>
      <c r="S45" s="4">
        <v>27320757</v>
      </c>
      <c r="T45" s="6">
        <v>6.25E-2</v>
      </c>
      <c r="U45" s="4">
        <v>461933764</v>
      </c>
      <c r="W45" s="1">
        <v>143</v>
      </c>
      <c r="X45" s="3"/>
      <c r="Z45" s="1">
        <v>193</v>
      </c>
      <c r="AA45" s="4">
        <v>426175233</v>
      </c>
      <c r="AB45" s="5">
        <v>0.05</v>
      </c>
      <c r="AC45" s="4">
        <v>8418588127</v>
      </c>
      <c r="AE45" s="1">
        <v>193</v>
      </c>
      <c r="AF45" s="3"/>
    </row>
    <row r="46" spans="2:32" ht="17.25" thickBot="1">
      <c r="B46" s="1">
        <v>44</v>
      </c>
      <c r="C46" s="4">
        <v>69869</v>
      </c>
      <c r="D46" s="5">
        <v>0.08</v>
      </c>
      <c r="E46" s="4">
        <v>684309</v>
      </c>
      <c r="G46" s="1">
        <v>44</v>
      </c>
      <c r="H46" s="3"/>
      <c r="J46" s="1">
        <v>94</v>
      </c>
      <c r="K46" s="4">
        <v>1726611</v>
      </c>
      <c r="L46" s="6">
        <v>6.5000000000000002E-2</v>
      </c>
      <c r="M46" s="4">
        <v>27134791</v>
      </c>
      <c r="O46" s="1">
        <v>94</v>
      </c>
      <c r="P46" s="3"/>
      <c r="R46" s="1">
        <v>144</v>
      </c>
      <c r="S46" s="4">
        <v>29028304</v>
      </c>
      <c r="T46" s="6">
        <v>6.25E-2</v>
      </c>
      <c r="U46" s="4">
        <v>490962068</v>
      </c>
      <c r="W46" s="1">
        <v>144</v>
      </c>
      <c r="X46" s="3"/>
      <c r="Z46" s="1">
        <v>194</v>
      </c>
      <c r="AA46" s="4">
        <v>447483994</v>
      </c>
      <c r="AB46" s="5">
        <v>0.05</v>
      </c>
      <c r="AC46" s="4">
        <v>8866072121</v>
      </c>
      <c r="AE46" s="1">
        <v>194</v>
      </c>
      <c r="AF46" s="3"/>
    </row>
    <row r="47" spans="2:32" ht="17.25" thickBot="1">
      <c r="B47" s="1">
        <v>45</v>
      </c>
      <c r="C47" s="4">
        <v>75458</v>
      </c>
      <c r="D47" s="5">
        <v>0.08</v>
      </c>
      <c r="E47" s="4">
        <v>759767</v>
      </c>
      <c r="G47" s="1">
        <v>45</v>
      </c>
      <c r="H47" s="3"/>
      <c r="J47" s="1">
        <v>95</v>
      </c>
      <c r="K47" s="4">
        <v>1838840</v>
      </c>
      <c r="L47" s="6">
        <v>6.5000000000000002E-2</v>
      </c>
      <c r="M47" s="4">
        <v>28973631</v>
      </c>
      <c r="O47" s="1">
        <v>95</v>
      </c>
      <c r="P47" s="3"/>
      <c r="R47" s="1">
        <v>145</v>
      </c>
      <c r="S47" s="4">
        <v>30842573</v>
      </c>
      <c r="T47" s="6">
        <v>6.25E-2</v>
      </c>
      <c r="U47" s="4">
        <v>521804641</v>
      </c>
      <c r="W47" s="1">
        <v>145</v>
      </c>
      <c r="X47" s="3"/>
      <c r="Z47" s="1">
        <v>195</v>
      </c>
      <c r="AA47" s="4">
        <v>469858193</v>
      </c>
      <c r="AB47" s="5">
        <v>0.05</v>
      </c>
      <c r="AC47" s="4">
        <v>9335930314</v>
      </c>
      <c r="AE47" s="1">
        <v>195</v>
      </c>
      <c r="AF47" s="3"/>
    </row>
    <row r="48" spans="2:32" ht="17.25" thickBot="1">
      <c r="B48" s="1">
        <v>46</v>
      </c>
      <c r="C48" s="4">
        <v>81494</v>
      </c>
      <c r="D48" s="5">
        <v>0.08</v>
      </c>
      <c r="E48" s="4">
        <v>841261</v>
      </c>
      <c r="G48" s="1">
        <v>46</v>
      </c>
      <c r="H48" s="3"/>
      <c r="J48" s="1">
        <v>96</v>
      </c>
      <c r="K48" s="4">
        <v>1958364</v>
      </c>
      <c r="L48" s="6">
        <v>6.5000000000000002E-2</v>
      </c>
      <c r="M48" s="4">
        <v>30931995</v>
      </c>
      <c r="O48" s="1">
        <v>96</v>
      </c>
      <c r="P48" s="3"/>
      <c r="R48" s="1">
        <v>146</v>
      </c>
      <c r="S48" s="4">
        <v>32770233</v>
      </c>
      <c r="T48" s="6">
        <v>6.25E-2</v>
      </c>
      <c r="U48" s="4">
        <v>554574874</v>
      </c>
      <c r="W48" s="1">
        <v>146</v>
      </c>
      <c r="X48" s="3"/>
      <c r="Z48" s="1">
        <v>196</v>
      </c>
      <c r="AA48" s="4">
        <v>493351102</v>
      </c>
      <c r="AB48" s="5">
        <v>0.05</v>
      </c>
      <c r="AC48" s="4">
        <v>9829281416</v>
      </c>
      <c r="AE48" s="1">
        <v>196</v>
      </c>
      <c r="AF48" s="3"/>
    </row>
    <row r="49" spans="2:32" ht="17.25" thickBot="1">
      <c r="B49" s="1">
        <v>47</v>
      </c>
      <c r="C49" s="4">
        <v>88013</v>
      </c>
      <c r="D49" s="5">
        <v>0.08</v>
      </c>
      <c r="E49" s="4">
        <v>929274</v>
      </c>
      <c r="G49" s="1">
        <v>47</v>
      </c>
      <c r="H49" s="3"/>
      <c r="J49" s="1">
        <v>97</v>
      </c>
      <c r="K49" s="4">
        <v>2085657</v>
      </c>
      <c r="L49" s="6">
        <v>6.5000000000000002E-2</v>
      </c>
      <c r="M49" s="4">
        <v>33017652</v>
      </c>
      <c r="O49" s="1">
        <v>97</v>
      </c>
      <c r="P49" s="3"/>
      <c r="R49" s="1">
        <v>147</v>
      </c>
      <c r="S49" s="4">
        <v>34818372</v>
      </c>
      <c r="T49" s="6">
        <v>6.25E-2</v>
      </c>
      <c r="U49" s="4">
        <v>589393246</v>
      </c>
      <c r="W49" s="1">
        <v>147</v>
      </c>
      <c r="X49" s="3"/>
      <c r="Z49" s="1">
        <v>197</v>
      </c>
      <c r="AA49" s="4">
        <v>518018657</v>
      </c>
      <c r="AB49" s="5">
        <v>0.05</v>
      </c>
      <c r="AC49" s="4">
        <v>10347300073</v>
      </c>
      <c r="AE49" s="1">
        <v>197</v>
      </c>
      <c r="AF49" s="3"/>
    </row>
    <row r="50" spans="2:32" ht="17.25" thickBot="1">
      <c r="B50" s="1">
        <v>48</v>
      </c>
      <c r="C50" s="4">
        <v>95054</v>
      </c>
      <c r="D50" s="5">
        <v>0.08</v>
      </c>
      <c r="E50" s="4">
        <v>1024328</v>
      </c>
      <c r="G50" s="1">
        <v>48</v>
      </c>
      <c r="H50" s="3"/>
      <c r="J50" s="1">
        <v>98</v>
      </c>
      <c r="K50" s="4">
        <v>2221224</v>
      </c>
      <c r="L50" s="6">
        <v>6.5000000000000002E-2</v>
      </c>
      <c r="M50" s="4">
        <v>35238876</v>
      </c>
      <c r="O50" s="1">
        <v>98</v>
      </c>
      <c r="P50" s="3"/>
      <c r="R50" s="1">
        <v>148</v>
      </c>
      <c r="S50" s="4">
        <v>36994520</v>
      </c>
      <c r="T50" s="6">
        <v>6.25E-2</v>
      </c>
      <c r="U50" s="4">
        <v>626387766</v>
      </c>
      <c r="W50" s="1">
        <v>148</v>
      </c>
      <c r="X50" s="3"/>
      <c r="Z50" s="1">
        <v>198</v>
      </c>
      <c r="AA50" s="4">
        <v>543919589</v>
      </c>
      <c r="AB50" s="5">
        <v>0.05</v>
      </c>
      <c r="AC50" s="4">
        <v>10891219662</v>
      </c>
      <c r="AE50" s="1">
        <v>198</v>
      </c>
      <c r="AF50" s="3"/>
    </row>
    <row r="51" spans="2:32" ht="17.25" thickBot="1">
      <c r="B51" s="1">
        <v>49</v>
      </c>
      <c r="C51" s="4">
        <v>102658</v>
      </c>
      <c r="D51" s="5">
        <v>0.08</v>
      </c>
      <c r="E51" s="4">
        <v>1126986</v>
      </c>
      <c r="G51" s="1">
        <v>49</v>
      </c>
      <c r="H51" s="3"/>
      <c r="J51" s="1">
        <v>99</v>
      </c>
      <c r="K51" s="4">
        <v>2365603</v>
      </c>
      <c r="L51" s="6">
        <v>6.5000000000000002E-2</v>
      </c>
      <c r="M51" s="4">
        <v>37604479</v>
      </c>
      <c r="O51" s="1">
        <v>99</v>
      </c>
      <c r="P51" s="3"/>
      <c r="R51" s="1">
        <v>149</v>
      </c>
      <c r="S51" s="4">
        <v>39306677</v>
      </c>
      <c r="T51" s="6">
        <v>6.25E-2</v>
      </c>
      <c r="U51" s="4">
        <v>665694443</v>
      </c>
      <c r="W51" s="1">
        <v>149</v>
      </c>
      <c r="X51" s="3"/>
      <c r="Z51" s="1">
        <v>199</v>
      </c>
      <c r="AA51" s="3" t="s">
        <v>103</v>
      </c>
      <c r="AB51" s="7">
        <v>0.05</v>
      </c>
      <c r="AC51" s="8">
        <v>11462335230</v>
      </c>
      <c r="AE51" s="1">
        <v>199</v>
      </c>
      <c r="AF51" s="3"/>
    </row>
    <row r="52" spans="2:32" ht="17.25" thickBot="1">
      <c r="B52" s="1">
        <v>50</v>
      </c>
      <c r="C52" s="4">
        <v>110870</v>
      </c>
      <c r="D52" s="5">
        <v>0.08</v>
      </c>
      <c r="E52" s="4">
        <v>1237856</v>
      </c>
      <c r="G52" s="1">
        <v>50</v>
      </c>
      <c r="H52" s="3"/>
      <c r="J52" s="1">
        <v>100</v>
      </c>
      <c r="K52" s="4">
        <v>2365603</v>
      </c>
      <c r="L52" s="5">
        <v>0</v>
      </c>
      <c r="M52" s="4">
        <v>39970082</v>
      </c>
      <c r="O52" s="1">
        <v>100</v>
      </c>
      <c r="P52" s="3"/>
      <c r="R52" s="1">
        <v>150</v>
      </c>
      <c r="S52" s="4">
        <v>41763344</v>
      </c>
      <c r="T52" s="6">
        <v>6.25E-2</v>
      </c>
      <c r="U52" s="4">
        <v>707457787</v>
      </c>
      <c r="W52" s="1">
        <v>150</v>
      </c>
      <c r="X52" s="3"/>
      <c r="AF52" s="3"/>
    </row>
  </sheetData>
  <sheetProtection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기동less 정</dc:creator>
  <cp:keywords/>
  <dc:description/>
  <cp:lastModifiedBy/>
  <cp:revision/>
  <dcterms:created xsi:type="dcterms:W3CDTF">2026-04-24T09:06:45Z</dcterms:created>
  <dcterms:modified xsi:type="dcterms:W3CDTF">2026-05-05T22:34:05Z</dcterms:modified>
  <cp:category/>
  <cp:contentStatus/>
</cp:coreProperties>
</file>