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ho\Desktop\새 폴더 (4)\"/>
    </mc:Choice>
  </mc:AlternateContent>
  <xr:revisionPtr revIDLastSave="0" documentId="13_ncr:1_{8A586B9C-344D-4525-8EC9-10FD667E2A95}" xr6:coauthVersionLast="47" xr6:coauthVersionMax="47" xr10:uidLastSave="{00000000-0000-0000-0000-000000000000}"/>
  <bookViews>
    <workbookView xWindow="-120" yWindow="-120" windowWidth="51840" windowHeight="21120" activeTab="5" xr2:uid="{00000000-000D-0000-FFFF-FFFF00000000}"/>
  </bookViews>
  <sheets>
    <sheet name="통합_입력" sheetId="2" r:id="rId1"/>
    <sheet name="설정" sheetId="3" r:id="rId2"/>
    <sheet name="계산표" sheetId="4" r:id="rId3"/>
    <sheet name="이항분포" sheetId="5" r:id="rId4"/>
    <sheet name="결과" sheetId="6" r:id="rId5"/>
    <sheet name="개선분석" sheetId="7" r:id="rId6"/>
  </sheets>
  <calcPr calcId="181029"/>
</workbook>
</file>

<file path=xl/calcChain.xml><?xml version="1.0" encoding="utf-8"?>
<calcChain xmlns="http://schemas.openxmlformats.org/spreadsheetml/2006/main">
  <c r="B57" i="7" l="1"/>
  <c r="B53" i="7"/>
  <c r="C52" i="7"/>
  <c r="B52" i="7"/>
  <c r="L49" i="7"/>
  <c r="L48" i="7"/>
  <c r="L47" i="7"/>
  <c r="C47" i="7"/>
  <c r="B47" i="7"/>
  <c r="B41" i="7"/>
  <c r="C37" i="7"/>
  <c r="B37" i="7"/>
  <c r="C33" i="7"/>
  <c r="L31" i="7"/>
  <c r="L25" i="7"/>
  <c r="C19" i="7"/>
  <c r="B19" i="7"/>
  <c r="T19" i="7" s="1"/>
  <c r="B13" i="7"/>
  <c r="B10" i="7"/>
  <c r="B60" i="6"/>
  <c r="B59" i="6"/>
  <c r="A59" i="6"/>
  <c r="A58" i="6"/>
  <c r="M57" i="6"/>
  <c r="A55" i="6"/>
  <c r="C53" i="6"/>
  <c r="B52" i="6"/>
  <c r="A51" i="6"/>
  <c r="B47" i="6"/>
  <c r="B41" i="6"/>
  <c r="A41" i="6"/>
  <c r="B36" i="6"/>
  <c r="E34" i="6"/>
  <c r="A34" i="6"/>
  <c r="AV43" i="4"/>
  <c r="AK43" i="4"/>
  <c r="AM43" i="4" s="1"/>
  <c r="Q43" i="4"/>
  <c r="P43" i="4"/>
  <c r="O43" i="4"/>
  <c r="N43" i="4"/>
  <c r="M43" i="4"/>
  <c r="L43" i="4"/>
  <c r="L58" i="7" s="1"/>
  <c r="K43" i="4"/>
  <c r="J43" i="4"/>
  <c r="I43" i="4"/>
  <c r="H43" i="4"/>
  <c r="AJ43" i="4" s="1"/>
  <c r="AL43" i="4" s="1"/>
  <c r="D43" i="4"/>
  <c r="B43" i="4"/>
  <c r="A43" i="4"/>
  <c r="AV42" i="4"/>
  <c r="AM42" i="4"/>
  <c r="AL42" i="4"/>
  <c r="AA42" i="4"/>
  <c r="Q42" i="4"/>
  <c r="P42" i="4"/>
  <c r="O42" i="4"/>
  <c r="N42" i="4"/>
  <c r="M42" i="4"/>
  <c r="AK42" i="4" s="1"/>
  <c r="L42" i="4"/>
  <c r="L57" i="7" s="1"/>
  <c r="K42" i="4"/>
  <c r="J42" i="4"/>
  <c r="I42" i="4"/>
  <c r="H42" i="4"/>
  <c r="AJ42" i="4" s="1"/>
  <c r="D42" i="4"/>
  <c r="B42" i="4"/>
  <c r="Z42" i="4" s="1"/>
  <c r="A42" i="4"/>
  <c r="AV41" i="4"/>
  <c r="AM41" i="4"/>
  <c r="S41" i="4"/>
  <c r="Q41" i="4"/>
  <c r="P41" i="4"/>
  <c r="O41" i="4"/>
  <c r="N41" i="4"/>
  <c r="M41" i="4"/>
  <c r="AK41" i="4" s="1"/>
  <c r="L41" i="4"/>
  <c r="L56" i="7" s="1"/>
  <c r="K41" i="4"/>
  <c r="J41" i="4"/>
  <c r="I41" i="4"/>
  <c r="H41" i="4"/>
  <c r="G41" i="4"/>
  <c r="F41" i="4"/>
  <c r="D41" i="4"/>
  <c r="B41" i="4"/>
  <c r="A41" i="4"/>
  <c r="AX40" i="4"/>
  <c r="AV40" i="4"/>
  <c r="AJ40" i="4"/>
  <c r="AL40" i="4" s="1"/>
  <c r="S40" i="4"/>
  <c r="R40" i="4"/>
  <c r="Q40" i="4"/>
  <c r="P40" i="4"/>
  <c r="O40" i="4"/>
  <c r="N40" i="4"/>
  <c r="M40" i="4"/>
  <c r="L40" i="4"/>
  <c r="L55" i="7" s="1"/>
  <c r="K40" i="4"/>
  <c r="J40" i="4"/>
  <c r="I40" i="4"/>
  <c r="H40" i="4"/>
  <c r="B57" i="6" s="1"/>
  <c r="D40" i="4"/>
  <c r="B40" i="4"/>
  <c r="C55" i="7" s="1"/>
  <c r="A40" i="4"/>
  <c r="A57" i="6" s="1"/>
  <c r="AX39" i="4"/>
  <c r="M56" i="6" s="1"/>
  <c r="AV39" i="4"/>
  <c r="AL39" i="4"/>
  <c r="E54" i="7" s="1"/>
  <c r="AK39" i="4"/>
  <c r="AM39" i="4" s="1"/>
  <c r="AJ39" i="4"/>
  <c r="AD39" i="4"/>
  <c r="AB39" i="4"/>
  <c r="AA39" i="4"/>
  <c r="Z39" i="4"/>
  <c r="P39" i="4"/>
  <c r="O39" i="4"/>
  <c r="N39" i="4"/>
  <c r="M39" i="4"/>
  <c r="L39" i="4"/>
  <c r="L54" i="7" s="1"/>
  <c r="K39" i="4"/>
  <c r="J39" i="4"/>
  <c r="I39" i="4"/>
  <c r="H39" i="4"/>
  <c r="B56" i="6" s="1"/>
  <c r="D39" i="4"/>
  <c r="B39" i="4"/>
  <c r="C54" i="7" s="1"/>
  <c r="A39" i="4"/>
  <c r="AX38" i="4"/>
  <c r="M55" i="6" s="1"/>
  <c r="AV38" i="4"/>
  <c r="AS38" i="4"/>
  <c r="G55" i="6" s="1"/>
  <c r="AR38" i="4"/>
  <c r="F55" i="6" s="1"/>
  <c r="AQ38" i="4"/>
  <c r="AP38" i="4"/>
  <c r="AO38" i="4"/>
  <c r="AN38" i="4"/>
  <c r="AJ38" i="4"/>
  <c r="AL38" i="4" s="1"/>
  <c r="Q38" i="4"/>
  <c r="P38" i="4"/>
  <c r="O38" i="4"/>
  <c r="N38" i="4"/>
  <c r="M38" i="4"/>
  <c r="L38" i="4"/>
  <c r="L53" i="7" s="1"/>
  <c r="K38" i="4"/>
  <c r="J38" i="4"/>
  <c r="I38" i="4"/>
  <c r="H38" i="4"/>
  <c r="AW38" i="4" s="1"/>
  <c r="D38" i="4"/>
  <c r="B38" i="4"/>
  <c r="A38" i="4"/>
  <c r="AX37" i="4"/>
  <c r="M54" i="6" s="1"/>
  <c r="AV37" i="4"/>
  <c r="S37" i="4"/>
  <c r="R37" i="4"/>
  <c r="Q37" i="4"/>
  <c r="P37" i="4"/>
  <c r="O37" i="4"/>
  <c r="N37" i="4"/>
  <c r="M37" i="4"/>
  <c r="AK37" i="4" s="1"/>
  <c r="AM37" i="4" s="1"/>
  <c r="L37" i="4"/>
  <c r="L52" i="7" s="1"/>
  <c r="K37" i="4"/>
  <c r="AB37" i="4" s="1"/>
  <c r="J37" i="4"/>
  <c r="I37" i="4"/>
  <c r="H37" i="4"/>
  <c r="D37" i="4"/>
  <c r="B37" i="4"/>
  <c r="AA37" i="4" s="1"/>
  <c r="A37" i="4"/>
  <c r="A54" i="6" s="1"/>
  <c r="AV36" i="4"/>
  <c r="AK36" i="4"/>
  <c r="AM36" i="4" s="1"/>
  <c r="AJ36" i="4"/>
  <c r="AL36" i="4" s="1"/>
  <c r="E51" i="7" s="1"/>
  <c r="AA36" i="4"/>
  <c r="Z36" i="4"/>
  <c r="S36" i="4"/>
  <c r="R36" i="4"/>
  <c r="Q36" i="4"/>
  <c r="P36" i="4"/>
  <c r="AD36" i="4" s="1"/>
  <c r="O36" i="4"/>
  <c r="N36" i="4"/>
  <c r="M36" i="4"/>
  <c r="L36" i="4"/>
  <c r="L51" i="7" s="1"/>
  <c r="K36" i="4"/>
  <c r="J36" i="4"/>
  <c r="I36" i="4"/>
  <c r="H36" i="4"/>
  <c r="AW36" i="4" s="1"/>
  <c r="D36" i="4"/>
  <c r="C36" i="4"/>
  <c r="B36" i="4"/>
  <c r="C51" i="7" s="1"/>
  <c r="A36" i="4"/>
  <c r="AV35" i="4"/>
  <c r="AK35" i="4"/>
  <c r="AM35" i="4" s="1"/>
  <c r="AJ35" i="4"/>
  <c r="AL35" i="4" s="1"/>
  <c r="P35" i="4"/>
  <c r="O35" i="4"/>
  <c r="N35" i="4"/>
  <c r="M35" i="4"/>
  <c r="L35" i="4"/>
  <c r="L50" i="7" s="1"/>
  <c r="K35" i="4"/>
  <c r="J35" i="4"/>
  <c r="I35" i="4"/>
  <c r="H35" i="4"/>
  <c r="F35" i="4"/>
  <c r="D35" i="4"/>
  <c r="B35" i="4"/>
  <c r="C50" i="7" s="1"/>
  <c r="A35" i="4"/>
  <c r="AX34" i="4"/>
  <c r="M51" i="6" s="1"/>
  <c r="AW34" i="4"/>
  <c r="AU34" i="4" s="1"/>
  <c r="AV34" i="4"/>
  <c r="P34" i="4"/>
  <c r="O34" i="4"/>
  <c r="N34" i="4"/>
  <c r="M34" i="4"/>
  <c r="L34" i="4"/>
  <c r="K34" i="4"/>
  <c r="J34" i="4"/>
  <c r="I34" i="4"/>
  <c r="H34" i="4"/>
  <c r="D34" i="4"/>
  <c r="B34" i="4"/>
  <c r="A34" i="4"/>
  <c r="B49" i="7" s="1"/>
  <c r="AV33" i="4"/>
  <c r="Z33" i="4"/>
  <c r="S33" i="4"/>
  <c r="U33" i="4" s="1"/>
  <c r="K50" i="6" s="1"/>
  <c r="R33" i="4"/>
  <c r="T33" i="4" s="1"/>
  <c r="P33" i="4"/>
  <c r="O33" i="4"/>
  <c r="N33" i="4"/>
  <c r="M33" i="4"/>
  <c r="L33" i="4"/>
  <c r="K33" i="4"/>
  <c r="J33" i="4"/>
  <c r="I33" i="4"/>
  <c r="H33" i="4"/>
  <c r="AX33" i="4" s="1"/>
  <c r="M50" i="6" s="1"/>
  <c r="D33" i="4"/>
  <c r="B33" i="4"/>
  <c r="C48" i="7" s="1"/>
  <c r="A33" i="4"/>
  <c r="AV32" i="4"/>
  <c r="AK32" i="4"/>
  <c r="AM32" i="4" s="1"/>
  <c r="AJ32" i="4"/>
  <c r="AL32" i="4" s="1"/>
  <c r="AA32" i="4"/>
  <c r="Z32" i="4"/>
  <c r="P32" i="4"/>
  <c r="O32" i="4"/>
  <c r="N32" i="4"/>
  <c r="M32" i="4"/>
  <c r="L32" i="4"/>
  <c r="K32" i="4"/>
  <c r="J32" i="4"/>
  <c r="I32" i="4"/>
  <c r="H32" i="4"/>
  <c r="B49" i="6" s="1"/>
  <c r="D32" i="4"/>
  <c r="B32" i="4"/>
  <c r="A32" i="4"/>
  <c r="AV31" i="4"/>
  <c r="P31" i="4"/>
  <c r="O31" i="4"/>
  <c r="N31" i="4"/>
  <c r="AK31" i="4" s="1"/>
  <c r="AM31" i="4" s="1"/>
  <c r="M31" i="4"/>
  <c r="L31" i="4"/>
  <c r="L46" i="7" s="1"/>
  <c r="K31" i="4"/>
  <c r="J31" i="4"/>
  <c r="I31" i="4"/>
  <c r="H31" i="4"/>
  <c r="G31" i="4"/>
  <c r="F31" i="4"/>
  <c r="E31" i="4"/>
  <c r="S46" i="7" s="1"/>
  <c r="D31" i="4"/>
  <c r="B31" i="4"/>
  <c r="C46" i="7" s="1"/>
  <c r="A31" i="4"/>
  <c r="AX30" i="4"/>
  <c r="M47" i="6" s="1"/>
  <c r="AV30" i="4"/>
  <c r="AL30" i="4"/>
  <c r="C47" i="6" s="1"/>
  <c r="AJ30" i="4"/>
  <c r="S30" i="4"/>
  <c r="R30" i="4"/>
  <c r="P30" i="4"/>
  <c r="O30" i="4"/>
  <c r="N30" i="4"/>
  <c r="M30" i="4"/>
  <c r="AK30" i="4" s="1"/>
  <c r="AM30" i="4" s="1"/>
  <c r="L30" i="4"/>
  <c r="L45" i="7" s="1"/>
  <c r="K30" i="4"/>
  <c r="J30" i="4"/>
  <c r="I30" i="4"/>
  <c r="H30" i="4"/>
  <c r="D30" i="4"/>
  <c r="B30" i="4"/>
  <c r="C45" i="7" s="1"/>
  <c r="A30" i="4"/>
  <c r="AX29" i="4"/>
  <c r="M46" i="6" s="1"/>
  <c r="AV29" i="4"/>
  <c r="AK29" i="4"/>
  <c r="AM29" i="4" s="1"/>
  <c r="AJ29" i="4"/>
  <c r="AL29" i="4" s="1"/>
  <c r="AD29" i="4"/>
  <c r="AB29" i="4"/>
  <c r="AA29" i="4"/>
  <c r="Z29" i="4"/>
  <c r="S29" i="4"/>
  <c r="P29" i="4"/>
  <c r="O29" i="4"/>
  <c r="N29" i="4"/>
  <c r="M29" i="4"/>
  <c r="L29" i="4"/>
  <c r="L44" i="7" s="1"/>
  <c r="K29" i="4"/>
  <c r="J29" i="4"/>
  <c r="I29" i="4"/>
  <c r="H29" i="4"/>
  <c r="B46" i="6" s="1"/>
  <c r="D29" i="4"/>
  <c r="B29" i="4"/>
  <c r="C44" i="7" s="1"/>
  <c r="A29" i="4"/>
  <c r="AV28" i="4"/>
  <c r="AM28" i="4"/>
  <c r="AK28" i="4"/>
  <c r="AJ28" i="4"/>
  <c r="AL28" i="4" s="1"/>
  <c r="P28" i="4"/>
  <c r="O28" i="4"/>
  <c r="N28" i="4"/>
  <c r="M28" i="4"/>
  <c r="L28" i="4"/>
  <c r="L43" i="7" s="1"/>
  <c r="K28" i="4"/>
  <c r="J28" i="4"/>
  <c r="I28" i="4"/>
  <c r="H28" i="4"/>
  <c r="B45" i="6" s="1"/>
  <c r="D28" i="4"/>
  <c r="B28" i="4"/>
  <c r="C43" i="7" s="1"/>
  <c r="A28" i="4"/>
  <c r="AX28" i="4" s="1"/>
  <c r="M45" i="6" s="1"/>
  <c r="AX27" i="4"/>
  <c r="M44" i="6" s="1"/>
  <c r="AV27" i="4"/>
  <c r="Q27" i="4"/>
  <c r="P27" i="4"/>
  <c r="O27" i="4"/>
  <c r="N27" i="4"/>
  <c r="M27" i="4"/>
  <c r="L27" i="4"/>
  <c r="L42" i="7" s="1"/>
  <c r="K27" i="4"/>
  <c r="J27" i="4"/>
  <c r="I27" i="4"/>
  <c r="H27" i="4"/>
  <c r="D27" i="4"/>
  <c r="B27" i="4"/>
  <c r="C42" i="7" s="1"/>
  <c r="A27" i="4"/>
  <c r="AW27" i="4" s="1"/>
  <c r="AX26" i="4"/>
  <c r="M43" i="6" s="1"/>
  <c r="AW26" i="4"/>
  <c r="AV26" i="4"/>
  <c r="AT26" i="4"/>
  <c r="AM26" i="4"/>
  <c r="AL26" i="4"/>
  <c r="AA26" i="4"/>
  <c r="Z26" i="4"/>
  <c r="S26" i="4"/>
  <c r="Q26" i="4"/>
  <c r="P26" i="4"/>
  <c r="O26" i="4"/>
  <c r="N26" i="4"/>
  <c r="M26" i="4"/>
  <c r="AK26" i="4" s="1"/>
  <c r="L26" i="4"/>
  <c r="L41" i="7" s="1"/>
  <c r="K26" i="4"/>
  <c r="J26" i="4"/>
  <c r="I26" i="4"/>
  <c r="H26" i="4"/>
  <c r="AJ26" i="4" s="1"/>
  <c r="D26" i="4"/>
  <c r="B26" i="4"/>
  <c r="R26" i="4" s="1"/>
  <c r="A26" i="4"/>
  <c r="A43" i="6" s="1"/>
  <c r="AW25" i="4"/>
  <c r="AT25" i="4" s="1"/>
  <c r="AV25" i="4"/>
  <c r="AU25" i="4"/>
  <c r="AS25" i="4"/>
  <c r="G42" i="6" s="1"/>
  <c r="AR25" i="4"/>
  <c r="F42" i="6" s="1"/>
  <c r="AQ25" i="4"/>
  <c r="AP25" i="4"/>
  <c r="AO25" i="4"/>
  <c r="AN25" i="4"/>
  <c r="AK25" i="4"/>
  <c r="AM25" i="4" s="1"/>
  <c r="AJ25" i="4"/>
  <c r="AL25" i="4" s="1"/>
  <c r="S25" i="4"/>
  <c r="P25" i="4"/>
  <c r="O25" i="4"/>
  <c r="N25" i="4"/>
  <c r="M25" i="4"/>
  <c r="L25" i="4"/>
  <c r="L40" i="7" s="1"/>
  <c r="K25" i="4"/>
  <c r="J25" i="4"/>
  <c r="I25" i="4"/>
  <c r="H25" i="4"/>
  <c r="B42" i="6" s="1"/>
  <c r="D25" i="4"/>
  <c r="B25" i="4"/>
  <c r="C40" i="7" s="1"/>
  <c r="A25" i="4"/>
  <c r="AX24" i="4"/>
  <c r="M41" i="6" s="1"/>
  <c r="AW24" i="4"/>
  <c r="AV24" i="4"/>
  <c r="AP24" i="4"/>
  <c r="AO24" i="4"/>
  <c r="D41" i="6" s="1"/>
  <c r="AN24" i="4"/>
  <c r="AK24" i="4"/>
  <c r="AM24" i="4" s="1"/>
  <c r="AA24" i="4"/>
  <c r="Z24" i="4"/>
  <c r="S24" i="4"/>
  <c r="R24" i="4"/>
  <c r="T24" i="4" s="1"/>
  <c r="J41" i="6" s="1"/>
  <c r="Q24" i="4"/>
  <c r="P24" i="4"/>
  <c r="O24" i="4"/>
  <c r="N24" i="4"/>
  <c r="M24" i="4"/>
  <c r="L24" i="4"/>
  <c r="L39" i="7" s="1"/>
  <c r="K24" i="4"/>
  <c r="J24" i="4"/>
  <c r="I24" i="4"/>
  <c r="H24" i="4"/>
  <c r="AJ24" i="4" s="1"/>
  <c r="AL24" i="4" s="1"/>
  <c r="E39" i="7" s="1"/>
  <c r="D24" i="4"/>
  <c r="B24" i="4"/>
  <c r="C39" i="7" s="1"/>
  <c r="A24" i="4"/>
  <c r="AV23" i="4"/>
  <c r="AL23" i="4"/>
  <c r="AK23" i="4"/>
  <c r="AM23" i="4" s="1"/>
  <c r="AJ23" i="4"/>
  <c r="AA23" i="4"/>
  <c r="Z23" i="4"/>
  <c r="R23" i="4"/>
  <c r="Q23" i="4"/>
  <c r="P23" i="4"/>
  <c r="O23" i="4"/>
  <c r="N23" i="4"/>
  <c r="M23" i="4"/>
  <c r="L23" i="4"/>
  <c r="L38" i="7" s="1"/>
  <c r="K23" i="4"/>
  <c r="J23" i="4"/>
  <c r="I23" i="4"/>
  <c r="H23" i="4"/>
  <c r="B40" i="6" s="1"/>
  <c r="D23" i="4"/>
  <c r="B23" i="4"/>
  <c r="C38" i="7" s="1"/>
  <c r="A23" i="4"/>
  <c r="AX22" i="4"/>
  <c r="M39" i="6" s="1"/>
  <c r="AW22" i="4"/>
  <c r="AU22" i="4" s="1"/>
  <c r="AV22" i="4"/>
  <c r="AS22" i="4"/>
  <c r="G39" i="6" s="1"/>
  <c r="AR22" i="4"/>
  <c r="F39" i="6" s="1"/>
  <c r="AQ22" i="4"/>
  <c r="AJ22" i="4"/>
  <c r="AL22" i="4" s="1"/>
  <c r="AA22" i="4"/>
  <c r="S22" i="4"/>
  <c r="R22" i="4"/>
  <c r="T22" i="4" s="1"/>
  <c r="J39" i="6" s="1"/>
  <c r="Q22" i="4"/>
  <c r="P22" i="4"/>
  <c r="AD22" i="4" s="1"/>
  <c r="O22" i="4"/>
  <c r="N22" i="4"/>
  <c r="M22" i="4"/>
  <c r="L22" i="4"/>
  <c r="L37" i="7" s="1"/>
  <c r="K22" i="4"/>
  <c r="J22" i="4"/>
  <c r="I22" i="4"/>
  <c r="H22" i="4"/>
  <c r="B39" i="6" s="1"/>
  <c r="G22" i="4"/>
  <c r="D22" i="4"/>
  <c r="B22" i="4"/>
  <c r="A22" i="4"/>
  <c r="A39" i="6" s="1"/>
  <c r="AV21" i="4"/>
  <c r="AL21" i="4"/>
  <c r="AJ21" i="4"/>
  <c r="AA21" i="4"/>
  <c r="Z21" i="4"/>
  <c r="X21" i="4"/>
  <c r="V21" i="4"/>
  <c r="P21" i="4"/>
  <c r="O21" i="4"/>
  <c r="N21" i="4"/>
  <c r="M21" i="4"/>
  <c r="AK21" i="4" s="1"/>
  <c r="AM21" i="4" s="1"/>
  <c r="L21" i="4"/>
  <c r="L36" i="7" s="1"/>
  <c r="K21" i="4"/>
  <c r="J21" i="4"/>
  <c r="I21" i="4"/>
  <c r="H21" i="4"/>
  <c r="B38" i="6" s="1"/>
  <c r="D21" i="4"/>
  <c r="B21" i="4"/>
  <c r="C36" i="7" s="1"/>
  <c r="A21" i="4"/>
  <c r="AX21" i="4" s="1"/>
  <c r="M38" i="6" s="1"/>
  <c r="AX20" i="4"/>
  <c r="M37" i="6" s="1"/>
  <c r="AV20" i="4"/>
  <c r="AA20" i="4"/>
  <c r="Z20" i="4"/>
  <c r="R20" i="4"/>
  <c r="Q20" i="4"/>
  <c r="P20" i="4"/>
  <c r="O20" i="4"/>
  <c r="N20" i="4"/>
  <c r="M20" i="4"/>
  <c r="L20" i="4"/>
  <c r="L35" i="7" s="1"/>
  <c r="K20" i="4"/>
  <c r="J20" i="4"/>
  <c r="I20" i="4"/>
  <c r="H20" i="4"/>
  <c r="D20" i="4"/>
  <c r="B20" i="4"/>
  <c r="C35" i="7" s="1"/>
  <c r="A20" i="4"/>
  <c r="A37" i="6" s="1"/>
  <c r="AV19" i="4"/>
  <c r="AA19" i="4"/>
  <c r="Z19" i="4"/>
  <c r="X19" i="4"/>
  <c r="V19" i="4"/>
  <c r="T19" i="4"/>
  <c r="J36" i="6" s="1"/>
  <c r="S19" i="4"/>
  <c r="U19" i="4" s="1"/>
  <c r="R19" i="4"/>
  <c r="Q19" i="4"/>
  <c r="P19" i="4"/>
  <c r="O19" i="4"/>
  <c r="N19" i="4"/>
  <c r="M19" i="4"/>
  <c r="AK19" i="4" s="1"/>
  <c r="AM19" i="4" s="1"/>
  <c r="L19" i="4"/>
  <c r="L34" i="7" s="1"/>
  <c r="K19" i="4"/>
  <c r="J19" i="4"/>
  <c r="I19" i="4"/>
  <c r="H19" i="4"/>
  <c r="AW19" i="4" s="1"/>
  <c r="D19" i="4"/>
  <c r="B19" i="4"/>
  <c r="C34" i="7" s="1"/>
  <c r="A19" i="4"/>
  <c r="A36" i="6" s="1"/>
  <c r="AV18" i="4"/>
  <c r="AM18" i="4"/>
  <c r="AK18" i="4"/>
  <c r="AJ18" i="4"/>
  <c r="AL18" i="4" s="1"/>
  <c r="AA18" i="4"/>
  <c r="P18" i="4"/>
  <c r="O18" i="4"/>
  <c r="N18" i="4"/>
  <c r="M18" i="4"/>
  <c r="L18" i="4"/>
  <c r="L33" i="7" s="1"/>
  <c r="K18" i="4"/>
  <c r="J18" i="4"/>
  <c r="I18" i="4"/>
  <c r="H18" i="4"/>
  <c r="B35" i="6" s="1"/>
  <c r="D18" i="4"/>
  <c r="B18" i="4"/>
  <c r="A18" i="4"/>
  <c r="AW17" i="4"/>
  <c r="AV17" i="4"/>
  <c r="AP17" i="4"/>
  <c r="N32" i="7" s="1"/>
  <c r="AN17" i="4"/>
  <c r="AO17" i="4" s="1"/>
  <c r="AK17" i="4"/>
  <c r="AM17" i="4" s="1"/>
  <c r="Z17" i="4"/>
  <c r="W17" i="4"/>
  <c r="P17" i="4"/>
  <c r="O17" i="4"/>
  <c r="N17" i="4"/>
  <c r="M17" i="4"/>
  <c r="L17" i="4"/>
  <c r="L32" i="7" s="1"/>
  <c r="K17" i="4"/>
  <c r="J17" i="4"/>
  <c r="I17" i="4"/>
  <c r="AJ17" i="4" s="1"/>
  <c r="AL17" i="4" s="1"/>
  <c r="H17" i="4"/>
  <c r="B34" i="6" s="1"/>
  <c r="D17" i="4"/>
  <c r="B17" i="4"/>
  <c r="C32" i="7" s="1"/>
  <c r="A17" i="4"/>
  <c r="AV16" i="4"/>
  <c r="AK16" i="4"/>
  <c r="AM16" i="4" s="1"/>
  <c r="AJ16" i="4"/>
  <c r="AL16" i="4" s="1"/>
  <c r="P16" i="4"/>
  <c r="O16" i="4"/>
  <c r="N16" i="4"/>
  <c r="M16" i="4"/>
  <c r="L16" i="4"/>
  <c r="K16" i="4"/>
  <c r="J16" i="4"/>
  <c r="I16" i="4"/>
  <c r="H16" i="4"/>
  <c r="B33" i="6" s="1"/>
  <c r="F16" i="4"/>
  <c r="D16" i="4"/>
  <c r="C16" i="4"/>
  <c r="B16" i="4"/>
  <c r="C31" i="7" s="1"/>
  <c r="A16" i="4"/>
  <c r="AV15" i="4"/>
  <c r="AK15" i="4"/>
  <c r="AM15" i="4" s="1"/>
  <c r="P15" i="4"/>
  <c r="O15" i="4"/>
  <c r="N15" i="4"/>
  <c r="M15" i="4"/>
  <c r="L15" i="4"/>
  <c r="L30" i="7" s="1"/>
  <c r="K15" i="4"/>
  <c r="J15" i="4"/>
  <c r="I15" i="4"/>
  <c r="AJ15" i="4" s="1"/>
  <c r="AL15" i="4" s="1"/>
  <c r="H15" i="4"/>
  <c r="B32" i="6" s="1"/>
  <c r="D15" i="4"/>
  <c r="C15" i="4"/>
  <c r="B15" i="4"/>
  <c r="C30" i="7" s="1"/>
  <c r="A15" i="4"/>
  <c r="AX15" i="4" s="1"/>
  <c r="M32" i="6" s="1"/>
  <c r="AV14" i="4"/>
  <c r="P14" i="4"/>
  <c r="O14" i="4"/>
  <c r="N14" i="4"/>
  <c r="AK14" i="4" s="1"/>
  <c r="AM14" i="4" s="1"/>
  <c r="M14" i="4"/>
  <c r="L14" i="4"/>
  <c r="L29" i="7" s="1"/>
  <c r="K14" i="4"/>
  <c r="J14" i="4"/>
  <c r="I14" i="4"/>
  <c r="H14" i="4"/>
  <c r="B31" i="6" s="1"/>
  <c r="F14" i="4"/>
  <c r="D14" i="4"/>
  <c r="C14" i="4"/>
  <c r="B14" i="4"/>
  <c r="C29" i="7" s="1"/>
  <c r="A14" i="4"/>
  <c r="AX14" i="4" s="1"/>
  <c r="M31" i="6" s="1"/>
  <c r="AW13" i="4"/>
  <c r="AV13" i="4"/>
  <c r="Z13" i="4"/>
  <c r="S13" i="4"/>
  <c r="R13" i="4"/>
  <c r="Q13" i="4"/>
  <c r="P13" i="4"/>
  <c r="O13" i="4"/>
  <c r="N13" i="4"/>
  <c r="M13" i="4"/>
  <c r="AK13" i="4" s="1"/>
  <c r="AM13" i="4" s="1"/>
  <c r="L13" i="4"/>
  <c r="L28" i="7" s="1"/>
  <c r="K13" i="4"/>
  <c r="J13" i="4"/>
  <c r="I13" i="4"/>
  <c r="H13" i="4"/>
  <c r="AX13" i="4" s="1"/>
  <c r="M30" i="6" s="1"/>
  <c r="G13" i="4"/>
  <c r="V13" i="4" s="1"/>
  <c r="F13" i="4"/>
  <c r="D13" i="4"/>
  <c r="B13" i="4"/>
  <c r="C28" i="7" s="1"/>
  <c r="A13" i="4"/>
  <c r="AV12" i="4"/>
  <c r="AJ12" i="4"/>
  <c r="AL12" i="4" s="1"/>
  <c r="AA12" i="4"/>
  <c r="Z12" i="4"/>
  <c r="S12" i="4"/>
  <c r="P12" i="4"/>
  <c r="O12" i="4"/>
  <c r="N12" i="4"/>
  <c r="M12" i="4"/>
  <c r="AK12" i="4" s="1"/>
  <c r="AM12" i="4" s="1"/>
  <c r="L12" i="4"/>
  <c r="L27" i="7" s="1"/>
  <c r="K12" i="4"/>
  <c r="J12" i="4"/>
  <c r="I12" i="4"/>
  <c r="H12" i="4"/>
  <c r="B29" i="6" s="1"/>
  <c r="D12" i="4"/>
  <c r="B12" i="4"/>
  <c r="C27" i="7" s="1"/>
  <c r="A12" i="4"/>
  <c r="AV11" i="4"/>
  <c r="AK11" i="4"/>
  <c r="AM11" i="4" s="1"/>
  <c r="AA11" i="4"/>
  <c r="Z11" i="4"/>
  <c r="P11" i="4"/>
  <c r="O11" i="4"/>
  <c r="N11" i="4"/>
  <c r="M11" i="4"/>
  <c r="L11" i="4"/>
  <c r="L26" i="7" s="1"/>
  <c r="K11" i="4"/>
  <c r="J11" i="4"/>
  <c r="I11" i="4"/>
  <c r="H11" i="4"/>
  <c r="D11" i="4"/>
  <c r="B11" i="4"/>
  <c r="C26" i="7" s="1"/>
  <c r="A11" i="4"/>
  <c r="AV10" i="4"/>
  <c r="AK10" i="4"/>
  <c r="AM10" i="4" s="1"/>
  <c r="AJ10" i="4"/>
  <c r="AL10" i="4" s="1"/>
  <c r="P10" i="4"/>
  <c r="O10" i="4"/>
  <c r="N10" i="4"/>
  <c r="M10" i="4"/>
  <c r="L10" i="4"/>
  <c r="K10" i="4"/>
  <c r="J10" i="4"/>
  <c r="I10" i="4"/>
  <c r="H10" i="4"/>
  <c r="B27" i="6" s="1"/>
  <c r="D10" i="4"/>
  <c r="C10" i="4"/>
  <c r="B10" i="4"/>
  <c r="C25" i="7" s="1"/>
  <c r="A10" i="4"/>
  <c r="AD10" i="4" s="1"/>
  <c r="AV9" i="4"/>
  <c r="Q9" i="4"/>
  <c r="P9" i="4"/>
  <c r="O9" i="4"/>
  <c r="N9" i="4"/>
  <c r="AK9" i="4" s="1"/>
  <c r="AM9" i="4" s="1"/>
  <c r="M9" i="4"/>
  <c r="L9" i="4"/>
  <c r="L24" i="7" s="1"/>
  <c r="K9" i="4"/>
  <c r="J9" i="4"/>
  <c r="I9" i="4"/>
  <c r="H9" i="4"/>
  <c r="B26" i="6" s="1"/>
  <c r="G9" i="4"/>
  <c r="W9" i="4" s="1"/>
  <c r="F9" i="4"/>
  <c r="Y9" i="4" s="1"/>
  <c r="D9" i="4"/>
  <c r="B9" i="4"/>
  <c r="C24" i="7" s="1"/>
  <c r="A9" i="4"/>
  <c r="AV8" i="4"/>
  <c r="AJ8" i="4"/>
  <c r="AL8" i="4" s="1"/>
  <c r="S8" i="4"/>
  <c r="Q8" i="4"/>
  <c r="P8" i="4"/>
  <c r="AD8" i="4" s="1"/>
  <c r="O8" i="4"/>
  <c r="N8" i="4"/>
  <c r="M8" i="4"/>
  <c r="L8" i="4"/>
  <c r="L23" i="7" s="1"/>
  <c r="K8" i="4"/>
  <c r="J8" i="4"/>
  <c r="I8" i="4"/>
  <c r="H8" i="4"/>
  <c r="B25" i="6" s="1"/>
  <c r="D8" i="4"/>
  <c r="C8" i="4"/>
  <c r="B8" i="4"/>
  <c r="C23" i="7" s="1"/>
  <c r="A8" i="4"/>
  <c r="B23" i="7" s="1"/>
  <c r="T23" i="7" s="1"/>
  <c r="AV7" i="4"/>
  <c r="AK7" i="4"/>
  <c r="AM7" i="4" s="1"/>
  <c r="AJ7" i="4"/>
  <c r="AL7" i="4" s="1"/>
  <c r="AA7" i="4"/>
  <c r="Z7" i="4"/>
  <c r="P7" i="4"/>
  <c r="O7" i="4"/>
  <c r="N7" i="4"/>
  <c r="M7" i="4"/>
  <c r="L7" i="4"/>
  <c r="L22" i="7" s="1"/>
  <c r="K7" i="4"/>
  <c r="J7" i="4"/>
  <c r="I7" i="4"/>
  <c r="H7" i="4"/>
  <c r="B24" i="6" s="1"/>
  <c r="D7" i="4"/>
  <c r="B7" i="4"/>
  <c r="C22" i="7" s="1"/>
  <c r="A7" i="4"/>
  <c r="AV6" i="4"/>
  <c r="AK6" i="4"/>
  <c r="AM6" i="4" s="1"/>
  <c r="AJ6" i="4"/>
  <c r="AL6" i="4" s="1"/>
  <c r="AD6" i="4"/>
  <c r="P6" i="4"/>
  <c r="O6" i="4"/>
  <c r="N6" i="4"/>
  <c r="M6" i="4"/>
  <c r="L6" i="4"/>
  <c r="L21" i="7" s="1"/>
  <c r="K6" i="4"/>
  <c r="J6" i="4"/>
  <c r="I6" i="4"/>
  <c r="H6" i="4"/>
  <c r="B23" i="6" s="1"/>
  <c r="G6" i="4"/>
  <c r="F6" i="4"/>
  <c r="D6" i="4"/>
  <c r="C6" i="4"/>
  <c r="B6" i="4"/>
  <c r="C21" i="7" s="1"/>
  <c r="A6" i="4"/>
  <c r="AW6" i="4" s="1"/>
  <c r="AV5" i="4"/>
  <c r="Q5" i="4"/>
  <c r="P5" i="4"/>
  <c r="O5" i="4"/>
  <c r="N5" i="4"/>
  <c r="M5" i="4"/>
  <c r="AK5" i="4" s="1"/>
  <c r="AM5" i="4" s="1"/>
  <c r="L5" i="4"/>
  <c r="L20" i="7" s="1"/>
  <c r="K5" i="4"/>
  <c r="J5" i="4"/>
  <c r="I5" i="4"/>
  <c r="H5" i="4"/>
  <c r="B22" i="6" s="1"/>
  <c r="D5" i="4"/>
  <c r="B5" i="4"/>
  <c r="C20" i="7" s="1"/>
  <c r="A5" i="4"/>
  <c r="AV4" i="4"/>
  <c r="AM4" i="4"/>
  <c r="AK4" i="4"/>
  <c r="AJ4" i="4"/>
  <c r="AL4" i="4" s="1"/>
  <c r="AA4" i="4"/>
  <c r="Z4" i="4"/>
  <c r="P4" i="4"/>
  <c r="O4" i="4"/>
  <c r="N4" i="4"/>
  <c r="M4" i="4"/>
  <c r="L4" i="4"/>
  <c r="L19" i="7" s="1"/>
  <c r="K4" i="4"/>
  <c r="J4" i="4"/>
  <c r="I4" i="4"/>
  <c r="H4" i="4"/>
  <c r="B21" i="6" s="1"/>
  <c r="D4" i="4"/>
  <c r="B4" i="4"/>
  <c r="A4" i="4"/>
  <c r="B26" i="3"/>
  <c r="B25" i="3"/>
  <c r="B12" i="3"/>
  <c r="W32" i="4" s="1"/>
  <c r="H44" i="2"/>
  <c r="G43" i="4" s="1"/>
  <c r="G44" i="2"/>
  <c r="F43" i="4" s="1"/>
  <c r="F44" i="2"/>
  <c r="E43" i="4" s="1"/>
  <c r="D44" i="2"/>
  <c r="C43" i="4" s="1"/>
  <c r="C44" i="2"/>
  <c r="H43" i="2"/>
  <c r="G42" i="4" s="1"/>
  <c r="V42" i="4" s="1"/>
  <c r="G43" i="2"/>
  <c r="F42" i="4" s="1"/>
  <c r="F43" i="2"/>
  <c r="E42" i="4" s="1"/>
  <c r="AB42" i="4" s="1"/>
  <c r="D43" i="2"/>
  <c r="C42" i="4" s="1"/>
  <c r="C43" i="2"/>
  <c r="H42" i="2"/>
  <c r="G42" i="2"/>
  <c r="F42" i="2"/>
  <c r="E41" i="4" s="1"/>
  <c r="S56" i="7" s="1"/>
  <c r="D42" i="2"/>
  <c r="C41" i="4" s="1"/>
  <c r="C42" i="2"/>
  <c r="H41" i="2"/>
  <c r="G40" i="4" s="1"/>
  <c r="G41" i="2"/>
  <c r="F40" i="4" s="1"/>
  <c r="F41" i="2"/>
  <c r="E40" i="4" s="1"/>
  <c r="S55" i="7" s="1"/>
  <c r="D41" i="2"/>
  <c r="C40" i="4" s="1"/>
  <c r="C41" i="2"/>
  <c r="H40" i="2"/>
  <c r="G39" i="4" s="1"/>
  <c r="G40" i="2"/>
  <c r="F39" i="4" s="1"/>
  <c r="F40" i="2"/>
  <c r="E39" i="4" s="1"/>
  <c r="S54" i="7" s="1"/>
  <c r="D40" i="2"/>
  <c r="C39" i="4" s="1"/>
  <c r="C40" i="2"/>
  <c r="H39" i="2"/>
  <c r="G38" i="4" s="1"/>
  <c r="G39" i="2"/>
  <c r="F38" i="4" s="1"/>
  <c r="F39" i="2"/>
  <c r="E38" i="4" s="1"/>
  <c r="D39" i="2"/>
  <c r="C38" i="4" s="1"/>
  <c r="C39" i="2"/>
  <c r="H38" i="2"/>
  <c r="G37" i="4" s="1"/>
  <c r="U37" i="4" s="1"/>
  <c r="G38" i="2"/>
  <c r="F37" i="4" s="1"/>
  <c r="F38" i="2"/>
  <c r="E37" i="4" s="1"/>
  <c r="S52" i="7" s="1"/>
  <c r="D38" i="2"/>
  <c r="C37" i="4" s="1"/>
  <c r="C38" i="2"/>
  <c r="H37" i="2"/>
  <c r="G36" i="4" s="1"/>
  <c r="W36" i="4" s="1"/>
  <c r="G37" i="2"/>
  <c r="F36" i="4" s="1"/>
  <c r="Y36" i="4" s="1"/>
  <c r="F37" i="2"/>
  <c r="E36" i="4" s="1"/>
  <c r="S51" i="7" s="1"/>
  <c r="D37" i="2"/>
  <c r="C37" i="2"/>
  <c r="H36" i="2"/>
  <c r="G35" i="4" s="1"/>
  <c r="G36" i="2"/>
  <c r="F36" i="2"/>
  <c r="E35" i="4" s="1"/>
  <c r="S50" i="7" s="1"/>
  <c r="D36" i="2"/>
  <c r="C35" i="4" s="1"/>
  <c r="C36" i="2"/>
  <c r="H35" i="2"/>
  <c r="G34" i="4" s="1"/>
  <c r="G35" i="2"/>
  <c r="F34" i="4" s="1"/>
  <c r="F35" i="2"/>
  <c r="E34" i="4" s="1"/>
  <c r="D35" i="2"/>
  <c r="C34" i="4" s="1"/>
  <c r="C35" i="2"/>
  <c r="H34" i="2"/>
  <c r="G33" i="4" s="1"/>
  <c r="G34" i="2"/>
  <c r="F33" i="4" s="1"/>
  <c r="F34" i="2"/>
  <c r="E33" i="4" s="1"/>
  <c r="D34" i="2"/>
  <c r="C33" i="4" s="1"/>
  <c r="C34" i="2"/>
  <c r="H33" i="2"/>
  <c r="G32" i="4" s="1"/>
  <c r="G33" i="2"/>
  <c r="F32" i="4" s="1"/>
  <c r="F33" i="2"/>
  <c r="E32" i="4" s="1"/>
  <c r="S47" i="7" s="1"/>
  <c r="D33" i="2"/>
  <c r="C32" i="4" s="1"/>
  <c r="C33" i="2"/>
  <c r="H32" i="2"/>
  <c r="G32" i="2"/>
  <c r="F32" i="2"/>
  <c r="D32" i="2"/>
  <c r="C31" i="4" s="1"/>
  <c r="C32" i="2"/>
  <c r="H31" i="2"/>
  <c r="G30" i="4" s="1"/>
  <c r="G31" i="2"/>
  <c r="F30" i="4" s="1"/>
  <c r="F31" i="2"/>
  <c r="E30" i="4" s="1"/>
  <c r="S45" i="7" s="1"/>
  <c r="D31" i="2"/>
  <c r="C30" i="4" s="1"/>
  <c r="C31" i="2"/>
  <c r="H30" i="2"/>
  <c r="G29" i="4" s="1"/>
  <c r="G30" i="2"/>
  <c r="F29" i="4" s="1"/>
  <c r="F30" i="2"/>
  <c r="E29" i="4" s="1"/>
  <c r="S44" i="7" s="1"/>
  <c r="D30" i="2"/>
  <c r="C29" i="4" s="1"/>
  <c r="C30" i="2"/>
  <c r="H29" i="2"/>
  <c r="G28" i="4" s="1"/>
  <c r="G29" i="2"/>
  <c r="F28" i="4" s="1"/>
  <c r="F29" i="2"/>
  <c r="E28" i="4" s="1"/>
  <c r="S43" i="7" s="1"/>
  <c r="D29" i="2"/>
  <c r="C28" i="4" s="1"/>
  <c r="C29" i="2"/>
  <c r="H28" i="2"/>
  <c r="G27" i="4" s="1"/>
  <c r="W27" i="4" s="1"/>
  <c r="G28" i="2"/>
  <c r="F27" i="4" s="1"/>
  <c r="F28" i="2"/>
  <c r="E27" i="4" s="1"/>
  <c r="S42" i="7" s="1"/>
  <c r="D28" i="2"/>
  <c r="C27" i="4" s="1"/>
  <c r="C28" i="2"/>
  <c r="H27" i="2"/>
  <c r="G26" i="4" s="1"/>
  <c r="G27" i="2"/>
  <c r="F26" i="4" s="1"/>
  <c r="F27" i="2"/>
  <c r="E26" i="4" s="1"/>
  <c r="S41" i="7" s="1"/>
  <c r="D27" i="2"/>
  <c r="C26" i="4" s="1"/>
  <c r="C27" i="2"/>
  <c r="H26" i="2"/>
  <c r="G25" i="4" s="1"/>
  <c r="V25" i="4" s="1"/>
  <c r="G26" i="2"/>
  <c r="F25" i="4" s="1"/>
  <c r="F26" i="2"/>
  <c r="E25" i="4" s="1"/>
  <c r="S40" i="7" s="1"/>
  <c r="D26" i="2"/>
  <c r="C25" i="4" s="1"/>
  <c r="C26" i="2"/>
  <c r="H25" i="2"/>
  <c r="G24" i="4" s="1"/>
  <c r="W24" i="4" s="1"/>
  <c r="G25" i="2"/>
  <c r="F24" i="4" s="1"/>
  <c r="F25" i="2"/>
  <c r="E24" i="4" s="1"/>
  <c r="S39" i="7" s="1"/>
  <c r="D25" i="2"/>
  <c r="C24" i="4" s="1"/>
  <c r="C25" i="2"/>
  <c r="H24" i="2"/>
  <c r="G23" i="4" s="1"/>
  <c r="G24" i="2"/>
  <c r="F23" i="4" s="1"/>
  <c r="F24" i="2"/>
  <c r="E23" i="4" s="1"/>
  <c r="D24" i="2"/>
  <c r="C23" i="4" s="1"/>
  <c r="C24" i="2"/>
  <c r="H23" i="2"/>
  <c r="G23" i="2"/>
  <c r="F22" i="4" s="1"/>
  <c r="F23" i="2"/>
  <c r="E22" i="4" s="1"/>
  <c r="S37" i="7" s="1"/>
  <c r="D23" i="2"/>
  <c r="C22" i="4" s="1"/>
  <c r="C23" i="2"/>
  <c r="H22" i="2"/>
  <c r="G21" i="4" s="1"/>
  <c r="G22" i="2"/>
  <c r="F21" i="4" s="1"/>
  <c r="F22" i="2"/>
  <c r="E21" i="4" s="1"/>
  <c r="S36" i="7" s="1"/>
  <c r="D22" i="2"/>
  <c r="C21" i="4" s="1"/>
  <c r="C22" i="2"/>
  <c r="H21" i="2"/>
  <c r="G20" i="4" s="1"/>
  <c r="G21" i="2"/>
  <c r="F20" i="4" s="1"/>
  <c r="F21" i="2"/>
  <c r="E20" i="4" s="1"/>
  <c r="D21" i="2"/>
  <c r="C20" i="4" s="1"/>
  <c r="C21" i="2"/>
  <c r="H20" i="2"/>
  <c r="G19" i="4" s="1"/>
  <c r="G20" i="2"/>
  <c r="F19" i="4" s="1"/>
  <c r="F20" i="2"/>
  <c r="E19" i="4" s="1"/>
  <c r="D20" i="2"/>
  <c r="C19" i="4" s="1"/>
  <c r="C20" i="2"/>
  <c r="H19" i="2"/>
  <c r="G18" i="4" s="1"/>
  <c r="G19" i="2"/>
  <c r="F18" i="4" s="1"/>
  <c r="D19" i="2"/>
  <c r="C18" i="4" s="1"/>
  <c r="C19" i="2"/>
  <c r="H18" i="2"/>
  <c r="G17" i="4" s="1"/>
  <c r="V17" i="4" s="1"/>
  <c r="G18" i="2"/>
  <c r="F17" i="4" s="1"/>
  <c r="D18" i="2"/>
  <c r="C17" i="4" s="1"/>
  <c r="C18" i="2"/>
  <c r="H17" i="2"/>
  <c r="G16" i="4" s="1"/>
  <c r="G17" i="2"/>
  <c r="D17" i="2"/>
  <c r="F17" i="2" s="1"/>
  <c r="E16" i="4" s="1"/>
  <c r="C17" i="2"/>
  <c r="H16" i="2"/>
  <c r="G15" i="4" s="1"/>
  <c r="G16" i="2"/>
  <c r="F15" i="4" s="1"/>
  <c r="D16" i="2"/>
  <c r="F16" i="2" s="1"/>
  <c r="E15" i="4" s="1"/>
  <c r="S30" i="7" s="1"/>
  <c r="C16" i="2"/>
  <c r="H15" i="2"/>
  <c r="G14" i="4" s="1"/>
  <c r="G15" i="2"/>
  <c r="F15" i="2"/>
  <c r="E14" i="4" s="1"/>
  <c r="S29" i="7" s="1"/>
  <c r="D15" i="2"/>
  <c r="C15" i="2"/>
  <c r="H14" i="2"/>
  <c r="G14" i="2"/>
  <c r="D14" i="2"/>
  <c r="C13" i="4" s="1"/>
  <c r="C14" i="2"/>
  <c r="H13" i="2"/>
  <c r="G12" i="4" s="1"/>
  <c r="G13" i="2"/>
  <c r="F12" i="4" s="1"/>
  <c r="D13" i="2"/>
  <c r="C12" i="4" s="1"/>
  <c r="C13" i="2"/>
  <c r="H12" i="2"/>
  <c r="G11" i="4" s="1"/>
  <c r="G12" i="2"/>
  <c r="F11" i="4" s="1"/>
  <c r="D12" i="2"/>
  <c r="F12" i="2" s="1"/>
  <c r="E11" i="4" s="1"/>
  <c r="S26" i="7" s="1"/>
  <c r="C12" i="2"/>
  <c r="H11" i="2"/>
  <c r="G10" i="4" s="1"/>
  <c r="G11" i="2"/>
  <c r="F10" i="4" s="1"/>
  <c r="F11" i="2"/>
  <c r="E10" i="4" s="1"/>
  <c r="S25" i="7" s="1"/>
  <c r="D11" i="2"/>
  <c r="C11" i="2"/>
  <c r="H10" i="2"/>
  <c r="G10" i="2"/>
  <c r="D10" i="2"/>
  <c r="C9" i="4" s="1"/>
  <c r="C10" i="2"/>
  <c r="H9" i="2"/>
  <c r="G8" i="4" s="1"/>
  <c r="G9" i="2"/>
  <c r="F8" i="4" s="1"/>
  <c r="F9" i="2"/>
  <c r="E8" i="4" s="1"/>
  <c r="D9" i="2"/>
  <c r="C9" i="2"/>
  <c r="H8" i="2"/>
  <c r="G7" i="4" s="1"/>
  <c r="G8" i="2"/>
  <c r="F7" i="4" s="1"/>
  <c r="D8" i="2"/>
  <c r="F8" i="2" s="1"/>
  <c r="E7" i="4" s="1"/>
  <c r="C8" i="2"/>
  <c r="H7" i="2"/>
  <c r="G7" i="2"/>
  <c r="F7" i="2"/>
  <c r="E6" i="4" s="1"/>
  <c r="S21" i="7" s="1"/>
  <c r="D7" i="2"/>
  <c r="C7" i="2"/>
  <c r="H6" i="2"/>
  <c r="G5" i="4" s="1"/>
  <c r="G6" i="2"/>
  <c r="F5" i="4" s="1"/>
  <c r="D6" i="2"/>
  <c r="C5" i="4" s="1"/>
  <c r="C6" i="2"/>
  <c r="H5" i="2"/>
  <c r="G4" i="4" s="1"/>
  <c r="G5" i="2"/>
  <c r="F4" i="4" s="1"/>
  <c r="F5" i="2"/>
  <c r="E4" i="4" s="1"/>
  <c r="D5" i="2"/>
  <c r="C4" i="4" s="1"/>
  <c r="C5" i="2"/>
  <c r="AE37" i="4" l="1"/>
  <c r="K54" i="6"/>
  <c r="V4" i="4"/>
  <c r="W4" i="4"/>
  <c r="J50" i="6"/>
  <c r="AC33" i="4"/>
  <c r="V11" i="4"/>
  <c r="X11" i="4" s="1"/>
  <c r="Y17" i="4"/>
  <c r="X17" i="4"/>
  <c r="T26" i="4"/>
  <c r="W26" i="4"/>
  <c r="V26" i="4"/>
  <c r="X26" i="4" s="1"/>
  <c r="U26" i="4"/>
  <c r="U29" i="4"/>
  <c r="K46" i="6" s="1"/>
  <c r="C42" i="6"/>
  <c r="E40" i="7"/>
  <c r="C33" i="6"/>
  <c r="E31" i="7"/>
  <c r="S34" i="7"/>
  <c r="AD19" i="4"/>
  <c r="AB19" i="4"/>
  <c r="S35" i="7"/>
  <c r="AB20" i="4"/>
  <c r="AT27" i="4"/>
  <c r="AS27" i="4"/>
  <c r="G44" i="6" s="1"/>
  <c r="AR27" i="4"/>
  <c r="F44" i="6" s="1"/>
  <c r="AQ27" i="4"/>
  <c r="AP27" i="4"/>
  <c r="AO27" i="4"/>
  <c r="AN27" i="4"/>
  <c r="L44" i="6"/>
  <c r="D42" i="7"/>
  <c r="AU27" i="4"/>
  <c r="E33" i="7"/>
  <c r="C35" i="6"/>
  <c r="S19" i="7"/>
  <c r="AD4" i="4"/>
  <c r="AB4" i="4"/>
  <c r="E43" i="7"/>
  <c r="C45" i="6"/>
  <c r="W12" i="4"/>
  <c r="Y12" i="4" s="1"/>
  <c r="V12" i="4"/>
  <c r="X12" i="4" s="1"/>
  <c r="U12" i="4"/>
  <c r="W39" i="4"/>
  <c r="Y39" i="4" s="1"/>
  <c r="V39" i="4"/>
  <c r="T39" i="4"/>
  <c r="J56" i="6" s="1"/>
  <c r="AS17" i="4"/>
  <c r="G34" i="6" s="1"/>
  <c r="K36" i="6"/>
  <c r="AE19" i="4"/>
  <c r="Y42" i="4"/>
  <c r="X18" i="4"/>
  <c r="AP6" i="4"/>
  <c r="AO6" i="4"/>
  <c r="AR6" i="4" s="1"/>
  <c r="F23" i="6" s="1"/>
  <c r="D21" i="7"/>
  <c r="AN6" i="4"/>
  <c r="AT6" i="4"/>
  <c r="L23" i="6"/>
  <c r="AQ6" i="4"/>
  <c r="AU6" i="4"/>
  <c r="V18" i="4"/>
  <c r="W18" i="4"/>
  <c r="AD34" i="4"/>
  <c r="S49" i="7"/>
  <c r="I39" i="6"/>
  <c r="K37" i="7"/>
  <c r="C49" i="6"/>
  <c r="E47" i="7"/>
  <c r="K49" i="7"/>
  <c r="I51" i="6"/>
  <c r="AB13" i="4"/>
  <c r="E22" i="7"/>
  <c r="C24" i="6"/>
  <c r="V5" i="4"/>
  <c r="X5" i="4" s="1"/>
  <c r="U5" i="4"/>
  <c r="K22" i="6" s="1"/>
  <c r="T5" i="4"/>
  <c r="J22" i="6" s="1"/>
  <c r="Y7" i="4"/>
  <c r="Y26" i="4"/>
  <c r="F32" i="7"/>
  <c r="D34" i="6"/>
  <c r="L36" i="6"/>
  <c r="AU19" i="4"/>
  <c r="AQ19" i="4"/>
  <c r="AP19" i="4"/>
  <c r="AN19" i="4"/>
  <c r="AT19" i="4"/>
  <c r="AS19" i="4"/>
  <c r="G36" i="6" s="1"/>
  <c r="AR19" i="4"/>
  <c r="F36" i="6" s="1"/>
  <c r="AO19" i="4"/>
  <c r="D34" i="7"/>
  <c r="AB38" i="4"/>
  <c r="S53" i="7"/>
  <c r="X4" i="4"/>
  <c r="Y4" i="4"/>
  <c r="Y32" i="4"/>
  <c r="X20" i="4"/>
  <c r="V20" i="4"/>
  <c r="T20" i="4"/>
  <c r="W20" i="4"/>
  <c r="S38" i="7"/>
  <c r="AD23" i="4"/>
  <c r="AB23" i="4"/>
  <c r="C32" i="6"/>
  <c r="E30" i="7"/>
  <c r="E19" i="7"/>
  <c r="C21" i="6"/>
  <c r="U7" i="4"/>
  <c r="E25" i="7"/>
  <c r="C27" i="6"/>
  <c r="E23" i="7"/>
  <c r="C25" i="6"/>
  <c r="X25" i="4"/>
  <c r="S22" i="7"/>
  <c r="AB7" i="4"/>
  <c r="AD7" i="4"/>
  <c r="W34" i="4"/>
  <c r="V34" i="4"/>
  <c r="X34" i="4" s="1"/>
  <c r="H42" i="6"/>
  <c r="J40" i="7"/>
  <c r="E53" i="7"/>
  <c r="C55" i="6"/>
  <c r="S23" i="7"/>
  <c r="AB8" i="4"/>
  <c r="C29" i="6"/>
  <c r="E27" i="7"/>
  <c r="U8" i="4"/>
  <c r="W8" i="4"/>
  <c r="Y8" i="4" s="1"/>
  <c r="V8" i="4"/>
  <c r="X8" i="4" s="1"/>
  <c r="S31" i="7"/>
  <c r="AD16" i="4"/>
  <c r="Y29" i="4"/>
  <c r="B46" i="7"/>
  <c r="T46" i="7" s="1"/>
  <c r="AW31" i="4"/>
  <c r="AA31" i="4"/>
  <c r="Z31" i="4"/>
  <c r="AD31" i="4"/>
  <c r="AB31" i="4"/>
  <c r="W31" i="4"/>
  <c r="Y31" i="4" s="1"/>
  <c r="V31" i="4"/>
  <c r="X31" i="4" s="1"/>
  <c r="S31" i="4"/>
  <c r="U31" i="4" s="1"/>
  <c r="R31" i="4"/>
  <c r="Q31" i="4"/>
  <c r="AT34" i="4"/>
  <c r="AK8" i="4"/>
  <c r="AM8" i="4" s="1"/>
  <c r="AK20" i="4"/>
  <c r="AM20" i="4" s="1"/>
  <c r="AD24" i="4"/>
  <c r="AJ41" i="4"/>
  <c r="AL41" i="4" s="1"/>
  <c r="AW41" i="4"/>
  <c r="R8" i="4"/>
  <c r="T8" i="4" s="1"/>
  <c r="W19" i="4"/>
  <c r="Y19" i="4" s="1"/>
  <c r="W21" i="4"/>
  <c r="Y21" i="4" s="1"/>
  <c r="U24" i="4"/>
  <c r="AJ31" i="4"/>
  <c r="AL31" i="4" s="1"/>
  <c r="V33" i="4"/>
  <c r="X33" i="4" s="1"/>
  <c r="F53" i="7"/>
  <c r="D55" i="6"/>
  <c r="X42" i="4"/>
  <c r="V24" i="4"/>
  <c r="X24" i="4" s="1"/>
  <c r="W33" i="4"/>
  <c r="E55" i="6"/>
  <c r="N53" i="7"/>
  <c r="T47" i="7"/>
  <c r="D28" i="7"/>
  <c r="AN13" i="4"/>
  <c r="R5" i="4"/>
  <c r="Z16" i="4"/>
  <c r="V16" i="4"/>
  <c r="X16" i="4" s="1"/>
  <c r="B31" i="7"/>
  <c r="T31" i="7" s="1"/>
  <c r="A33" i="6"/>
  <c r="Q16" i="4"/>
  <c r="AX16" i="4"/>
  <c r="M33" i="6" s="1"/>
  <c r="AW16" i="4"/>
  <c r="C39" i="6"/>
  <c r="E37" i="7"/>
  <c r="Y24" i="4"/>
  <c r="E3" i="5"/>
  <c r="T53" i="7"/>
  <c r="A21" i="6"/>
  <c r="AB21" i="4"/>
  <c r="AD41" i="4"/>
  <c r="AC19" i="4"/>
  <c r="T49" i="7"/>
  <c r="E57" i="7"/>
  <c r="C59" i="6"/>
  <c r="B29" i="7"/>
  <c r="T29" i="7" s="1"/>
  <c r="V14" i="4"/>
  <c r="X14" i="4" s="1"/>
  <c r="T14" i="4"/>
  <c r="J31" i="6" s="1"/>
  <c r="R14" i="4"/>
  <c r="AW14" i="4"/>
  <c r="A31" i="6"/>
  <c r="F18" i="2"/>
  <c r="E17" i="4" s="1"/>
  <c r="F19" i="2"/>
  <c r="E18" i="4" s="1"/>
  <c r="S33" i="7" s="1"/>
  <c r="AD30" i="4"/>
  <c r="AD11" i="4"/>
  <c r="B26" i="7"/>
  <c r="T26" i="7" s="1"/>
  <c r="AB11" i="4"/>
  <c r="W11" i="4"/>
  <c r="Y11" i="4" s="1"/>
  <c r="Q11" i="4"/>
  <c r="A28" i="6"/>
  <c r="AU17" i="4"/>
  <c r="AT17" i="4"/>
  <c r="AR17" i="4"/>
  <c r="F34" i="6" s="1"/>
  <c r="AQ17" i="4"/>
  <c r="L34" i="6"/>
  <c r="D32" i="7"/>
  <c r="AD21" i="4"/>
  <c r="C40" i="6"/>
  <c r="E38" i="7"/>
  <c r="D42" i="6"/>
  <c r="F40" i="7"/>
  <c r="AB26" i="4"/>
  <c r="AW28" i="4"/>
  <c r="AB28" i="4"/>
  <c r="AA28" i="4"/>
  <c r="Z28" i="4"/>
  <c r="W28" i="4"/>
  <c r="Y28" i="4" s="1"/>
  <c r="V28" i="4"/>
  <c r="X28" i="4" s="1"/>
  <c r="S28" i="4"/>
  <c r="Q28" i="4"/>
  <c r="B43" i="7"/>
  <c r="T43" i="7" s="1"/>
  <c r="A45" i="6"/>
  <c r="AB32" i="4"/>
  <c r="C49" i="7"/>
  <c r="S34" i="4"/>
  <c r="U34" i="4" s="1"/>
  <c r="R34" i="4"/>
  <c r="F6" i="2"/>
  <c r="E5" i="4" s="1"/>
  <c r="S20" i="7" s="1"/>
  <c r="W38" i="4"/>
  <c r="V38" i="4"/>
  <c r="W5" i="4"/>
  <c r="Y5" i="4" s="1"/>
  <c r="Z8" i="4"/>
  <c r="R9" i="4"/>
  <c r="T9" i="4" s="1"/>
  <c r="T13" i="4"/>
  <c r="B32" i="7"/>
  <c r="T32" i="7" s="1"/>
  <c r="AE17" i="4"/>
  <c r="AD17" i="4"/>
  <c r="AA17" i="4"/>
  <c r="AX17" i="4"/>
  <c r="M34" i="6" s="1"/>
  <c r="AJ19" i="4"/>
  <c r="AL19" i="4" s="1"/>
  <c r="AE21" i="4"/>
  <c r="AT22" i="4"/>
  <c r="N40" i="7"/>
  <c r="E42" i="6"/>
  <c r="B58" i="6"/>
  <c r="W42" i="4"/>
  <c r="F14" i="2"/>
  <c r="E13" i="4" s="1"/>
  <c r="S28" i="7" s="1"/>
  <c r="C7" i="4"/>
  <c r="C11" i="4"/>
  <c r="AD18" i="4"/>
  <c r="AB18" i="4"/>
  <c r="Z18" i="4"/>
  <c r="Y18" i="4"/>
  <c r="U18" i="4"/>
  <c r="B33" i="7"/>
  <c r="T33" i="7" s="1"/>
  <c r="R18" i="4"/>
  <c r="T18" i="4" s="1"/>
  <c r="Q18" i="4"/>
  <c r="AW18" i="4"/>
  <c r="A35" i="6"/>
  <c r="AD26" i="4"/>
  <c r="T31" i="4"/>
  <c r="J48" i="6" s="1"/>
  <c r="AD32" i="4"/>
  <c r="AW37" i="4"/>
  <c r="T37" i="7"/>
  <c r="AQ36" i="4"/>
  <c r="L53" i="6"/>
  <c r="AU36" i="4"/>
  <c r="AT36" i="4"/>
  <c r="AS36" i="4"/>
  <c r="G53" i="6" s="1"/>
  <c r="AP36" i="4"/>
  <c r="AO36" i="4"/>
  <c r="AN36" i="4"/>
  <c r="B21" i="7"/>
  <c r="T21" i="7" s="1"/>
  <c r="A23" i="6"/>
  <c r="W6" i="4"/>
  <c r="X13" i="4"/>
  <c r="N39" i="7"/>
  <c r="E41" i="6"/>
  <c r="V36" i="4"/>
  <c r="C58" i="7"/>
  <c r="Z43" i="4"/>
  <c r="C41" i="6"/>
  <c r="X37" i="4"/>
  <c r="F13" i="2"/>
  <c r="E12" i="4" s="1"/>
  <c r="AX6" i="4"/>
  <c r="M23" i="6" s="1"/>
  <c r="Z5" i="4"/>
  <c r="V9" i="4"/>
  <c r="X9" i="4" s="1"/>
  <c r="Q14" i="4"/>
  <c r="E36" i="7"/>
  <c r="C38" i="6"/>
  <c r="AP22" i="4"/>
  <c r="AO22" i="4"/>
  <c r="AN22" i="4"/>
  <c r="L39" i="6"/>
  <c r="D37" i="7"/>
  <c r="E41" i="7"/>
  <c r="C43" i="6"/>
  <c r="Y38" i="4"/>
  <c r="D51" i="7"/>
  <c r="AX10" i="4"/>
  <c r="M27" i="6" s="1"/>
  <c r="A27" i="6"/>
  <c r="AW10" i="4"/>
  <c r="B25" i="7"/>
  <c r="T25" i="7" s="1"/>
  <c r="B30" i="7"/>
  <c r="T30" i="7" s="1"/>
  <c r="AD15" i="4"/>
  <c r="AA15" i="4"/>
  <c r="Z15" i="4"/>
  <c r="A32" i="6"/>
  <c r="AA5" i="4"/>
  <c r="S14" i="4"/>
  <c r="U14" i="4" s="1"/>
  <c r="AX18" i="4"/>
  <c r="M35" i="6" s="1"/>
  <c r="D39" i="7"/>
  <c r="AU24" i="4"/>
  <c r="AT24" i="4"/>
  <c r="AS24" i="4"/>
  <c r="G41" i="6" s="1"/>
  <c r="AR24" i="4"/>
  <c r="F41" i="6" s="1"/>
  <c r="AQ24" i="4"/>
  <c r="L41" i="6"/>
  <c r="B51" i="6"/>
  <c r="AJ34" i="4"/>
  <c r="AL34" i="4" s="1"/>
  <c r="Z35" i="4"/>
  <c r="X36" i="4"/>
  <c r="AA38" i="4"/>
  <c r="Z38" i="4"/>
  <c r="S38" i="4"/>
  <c r="U38" i="4" s="1"/>
  <c r="R38" i="4"/>
  <c r="T38" i="4" s="1"/>
  <c r="C53" i="7"/>
  <c r="AK40" i="4"/>
  <c r="AM40" i="4" s="1"/>
  <c r="E58" i="7"/>
  <c r="C60" i="6"/>
  <c r="B22" i="7"/>
  <c r="T22" i="7" s="1"/>
  <c r="A24" i="6"/>
  <c r="W7" i="4"/>
  <c r="V7" i="4"/>
  <c r="X7" i="4" s="1"/>
  <c r="S48" i="7"/>
  <c r="AB33" i="4"/>
  <c r="AB5" i="4"/>
  <c r="AW11" i="4"/>
  <c r="W14" i="4"/>
  <c r="B38" i="7"/>
  <c r="T38" i="7" s="1"/>
  <c r="W23" i="4"/>
  <c r="Y23" i="4" s="1"/>
  <c r="V23" i="4"/>
  <c r="X23" i="4" s="1"/>
  <c r="T23" i="4"/>
  <c r="S23" i="4"/>
  <c r="U23" i="4" s="1"/>
  <c r="A40" i="6"/>
  <c r="AW23" i="4"/>
  <c r="AX23" i="4"/>
  <c r="M40" i="6" s="1"/>
  <c r="K40" i="7"/>
  <c r="I42" i="6"/>
  <c r="J41" i="7"/>
  <c r="H43" i="6"/>
  <c r="AA35" i="4"/>
  <c r="F39" i="7"/>
  <c r="I39" i="7" s="1"/>
  <c r="T52" i="7"/>
  <c r="Y33" i="4"/>
  <c r="Q6" i="4"/>
  <c r="AW7" i="4"/>
  <c r="Q10" i="4"/>
  <c r="AJ11" i="4"/>
  <c r="AL11" i="4" s="1"/>
  <c r="B28" i="6"/>
  <c r="AX11" i="4"/>
  <c r="M28" i="6" s="1"/>
  <c r="C34" i="6"/>
  <c r="E32" i="7"/>
  <c r="AW21" i="4"/>
  <c r="AC24" i="4"/>
  <c r="W25" i="4"/>
  <c r="Y25" i="4" s="1"/>
  <c r="A42" i="6"/>
  <c r="B40" i="7"/>
  <c r="T40" i="7" s="1"/>
  <c r="AX25" i="4"/>
  <c r="M42" i="6" s="1"/>
  <c r="AD25" i="4"/>
  <c r="AB25" i="4"/>
  <c r="AA25" i="4"/>
  <c r="Z25" i="4"/>
  <c r="U25" i="4"/>
  <c r="K42" i="6" s="1"/>
  <c r="R25" i="4"/>
  <c r="T25" i="4" s="1"/>
  <c r="Q25" i="4"/>
  <c r="AB35" i="4"/>
  <c r="B30" i="6"/>
  <c r="AJ13" i="4"/>
  <c r="AL13" i="4" s="1"/>
  <c r="B5" i="6" s="1"/>
  <c r="C46" i="6"/>
  <c r="E44" i="7"/>
  <c r="S58" i="7"/>
  <c r="AB43" i="4"/>
  <c r="V30" i="4"/>
  <c r="R6" i="4"/>
  <c r="AX7" i="4"/>
  <c r="M24" i="6" s="1"/>
  <c r="R10" i="4"/>
  <c r="T10" i="4" s="1"/>
  <c r="A29" i="6"/>
  <c r="R12" i="4"/>
  <c r="T12" i="4" s="1"/>
  <c r="Q12" i="4"/>
  <c r="AX12" i="4"/>
  <c r="M29" i="6" s="1"/>
  <c r="B27" i="7"/>
  <c r="T27" i="7" s="1"/>
  <c r="Y14" i="4"/>
  <c r="Q15" i="4"/>
  <c r="L42" i="6"/>
  <c r="D40" i="7"/>
  <c r="AS26" i="4"/>
  <c r="G43" i="6" s="1"/>
  <c r="L43" i="6"/>
  <c r="D41" i="7"/>
  <c r="AU26" i="4"/>
  <c r="AR26" i="4"/>
  <c r="F43" i="6" s="1"/>
  <c r="AQ26" i="4"/>
  <c r="AP26" i="4"/>
  <c r="AO26" i="4"/>
  <c r="AN26" i="4"/>
  <c r="AB34" i="4"/>
  <c r="S6" i="4"/>
  <c r="U6" i="4" s="1"/>
  <c r="S10" i="4"/>
  <c r="U10" i="4" s="1"/>
  <c r="Z14" i="4"/>
  <c r="R15" i="4"/>
  <c r="T15" i="4" s="1"/>
  <c r="AW20" i="4"/>
  <c r="AD35" i="4"/>
  <c r="AB36" i="4"/>
  <c r="AJ9" i="4"/>
  <c r="AL9" i="4" s="1"/>
  <c r="AA14" i="4"/>
  <c r="S15" i="4"/>
  <c r="AA27" i="4"/>
  <c r="S27" i="4"/>
  <c r="U27" i="4" s="1"/>
  <c r="R27" i="4"/>
  <c r="T27" i="4" s="1"/>
  <c r="J44" i="6" s="1"/>
  <c r="A44" i="6"/>
  <c r="AD27" i="4"/>
  <c r="AC27" i="4"/>
  <c r="AB27" i="4"/>
  <c r="Z27" i="4"/>
  <c r="Y27" i="4"/>
  <c r="X27" i="4"/>
  <c r="V27" i="4"/>
  <c r="T30" i="4"/>
  <c r="J47" i="6" s="1"/>
  <c r="AK34" i="4"/>
  <c r="AM34" i="4" s="1"/>
  <c r="AU38" i="4"/>
  <c r="D53" i="7"/>
  <c r="L55" i="6"/>
  <c r="AT38" i="4"/>
  <c r="W35" i="4"/>
  <c r="Y35" i="4" s="1"/>
  <c r="V35" i="4"/>
  <c r="X35" i="4" s="1"/>
  <c r="S35" i="4"/>
  <c r="U35" i="4" s="1"/>
  <c r="R35" i="4"/>
  <c r="T35" i="4" s="1"/>
  <c r="Q35" i="4"/>
  <c r="AX35" i="4"/>
  <c r="M52" i="6" s="1"/>
  <c r="AW35" i="4"/>
  <c r="B50" i="7"/>
  <c r="T50" i="7" s="1"/>
  <c r="A52" i="6"/>
  <c r="AW15" i="4"/>
  <c r="W37" i="4"/>
  <c r="V37" i="4"/>
  <c r="T37" i="4"/>
  <c r="AB14" i="4"/>
  <c r="S21" i="4"/>
  <c r="U21" i="4" s="1"/>
  <c r="K38" i="6" s="1"/>
  <c r="R21" i="4"/>
  <c r="T21" i="4" s="1"/>
  <c r="Q21" i="4"/>
  <c r="B36" i="7"/>
  <c r="T36" i="7" s="1"/>
  <c r="A38" i="6"/>
  <c r="U30" i="4"/>
  <c r="E50" i="7"/>
  <c r="C52" i="6"/>
  <c r="V41" i="4"/>
  <c r="X41" i="4" s="1"/>
  <c r="U41" i="4"/>
  <c r="T41" i="4"/>
  <c r="AW5" i="4"/>
  <c r="V6" i="4"/>
  <c r="X6" i="4" s="1"/>
  <c r="AC14" i="4"/>
  <c r="C57" i="6"/>
  <c r="E55" i="7"/>
  <c r="L51" i="6"/>
  <c r="AO34" i="4"/>
  <c r="AN34" i="4"/>
  <c r="D49" i="7"/>
  <c r="AX9" i="4"/>
  <c r="M26" i="6" s="1"/>
  <c r="W40" i="4"/>
  <c r="V40" i="4"/>
  <c r="U40" i="4"/>
  <c r="K57" i="6" s="1"/>
  <c r="T40" i="4"/>
  <c r="J57" i="6" s="1"/>
  <c r="S5" i="4"/>
  <c r="B20" i="7"/>
  <c r="T20" i="7" s="1"/>
  <c r="A22" i="6"/>
  <c r="W10" i="4"/>
  <c r="AQ13" i="4"/>
  <c r="AD14" i="4"/>
  <c r="V15" i="4"/>
  <c r="R16" i="4"/>
  <c r="T16" i="4" s="1"/>
  <c r="B44" i="6"/>
  <c r="AJ27" i="4"/>
  <c r="AL27" i="4" s="1"/>
  <c r="AX31" i="4"/>
  <c r="M48" i="6" s="1"/>
  <c r="AR36" i="4"/>
  <c r="F53" i="6" s="1"/>
  <c r="AD43" i="4"/>
  <c r="T41" i="7"/>
  <c r="W43" i="4"/>
  <c r="Y43" i="4" s="1"/>
  <c r="AW4" i="4"/>
  <c r="AX4" i="4"/>
  <c r="M21" i="6" s="1"/>
  <c r="AW8" i="4"/>
  <c r="X10" i="4"/>
  <c r="AW12" i="4"/>
  <c r="W15" i="4"/>
  <c r="Y15" i="4" s="1"/>
  <c r="S16" i="4"/>
  <c r="U16" i="4" s="1"/>
  <c r="AW32" i="4"/>
  <c r="V32" i="4"/>
  <c r="X32" i="4" s="1"/>
  <c r="T32" i="4"/>
  <c r="S32" i="4"/>
  <c r="U32" i="4" s="1"/>
  <c r="R32" i="4"/>
  <c r="Q32" i="4"/>
  <c r="AX32" i="4"/>
  <c r="M49" i="6" s="1"/>
  <c r="A49" i="6"/>
  <c r="AW40" i="4"/>
  <c r="AX5" i="4"/>
  <c r="M22" i="6" s="1"/>
  <c r="A30" i="6"/>
  <c r="AA13" i="4"/>
  <c r="B28" i="7"/>
  <c r="T28" i="7" s="1"/>
  <c r="W13" i="4"/>
  <c r="Y13" i="4" s="1"/>
  <c r="U13" i="4"/>
  <c r="R28" i="4"/>
  <c r="T28" i="4" s="1"/>
  <c r="AP34" i="4"/>
  <c r="A48" i="6"/>
  <c r="B42" i="7"/>
  <c r="T42" i="7" s="1"/>
  <c r="AJ5" i="4"/>
  <c r="AL5" i="4" s="1"/>
  <c r="Q4" i="4"/>
  <c r="Y6" i="4"/>
  <c r="Y10" i="4"/>
  <c r="AJ14" i="4"/>
  <c r="AL14" i="4" s="1"/>
  <c r="X15" i="4"/>
  <c r="B37" i="6"/>
  <c r="AJ20" i="4"/>
  <c r="AL20" i="4" s="1"/>
  <c r="S4" i="4"/>
  <c r="U4" i="4" s="1"/>
  <c r="AA6" i="4"/>
  <c r="Q7" i="4"/>
  <c r="B24" i="7"/>
  <c r="T24" i="7" s="1"/>
  <c r="AA9" i="4"/>
  <c r="Z9" i="4"/>
  <c r="A26" i="6"/>
  <c r="S9" i="4"/>
  <c r="U9" i="4" s="1"/>
  <c r="AW9" i="4"/>
  <c r="Z10" i="4"/>
  <c r="R11" i="4"/>
  <c r="AT13" i="4"/>
  <c r="AB15" i="4"/>
  <c r="W16" i="4"/>
  <c r="Y16" i="4" s="1"/>
  <c r="R17" i="4"/>
  <c r="T17" i="4" s="1"/>
  <c r="U28" i="4"/>
  <c r="K45" i="6" s="1"/>
  <c r="AQ34" i="4"/>
  <c r="W41" i="4"/>
  <c r="Y41" i="4" s="1"/>
  <c r="L30" i="6"/>
  <c r="B48" i="6"/>
  <c r="S57" i="7"/>
  <c r="AD42" i="4"/>
  <c r="E21" i="7"/>
  <c r="C23" i="6"/>
  <c r="T6" i="4"/>
  <c r="J23" i="6" s="1"/>
  <c r="U15" i="4"/>
  <c r="K32" i="6" s="1"/>
  <c r="F10" i="2"/>
  <c r="E9" i="4" s="1"/>
  <c r="S24" i="7" s="1"/>
  <c r="R4" i="4"/>
  <c r="T4" i="4" s="1"/>
  <c r="Z6" i="4"/>
  <c r="AB6" i="4"/>
  <c r="R7" i="4"/>
  <c r="T7" i="4" s="1"/>
  <c r="AA10" i="4"/>
  <c r="S11" i="4"/>
  <c r="U11" i="4" s="1"/>
  <c r="AU13" i="4"/>
  <c r="AA16" i="4"/>
  <c r="S17" i="4"/>
  <c r="U17" i="4" s="1"/>
  <c r="K34" i="6" s="1"/>
  <c r="AD28" i="4"/>
  <c r="AW30" i="4"/>
  <c r="AK33" i="4"/>
  <c r="AM33" i="4" s="1"/>
  <c r="AR34" i="4"/>
  <c r="F51" i="6" s="1"/>
  <c r="X39" i="4"/>
  <c r="C56" i="7"/>
  <c r="AA41" i="4"/>
  <c r="Z41" i="4"/>
  <c r="R41" i="4"/>
  <c r="V43" i="4"/>
  <c r="X43" i="4" s="1"/>
  <c r="V10" i="4"/>
  <c r="U22" i="4"/>
  <c r="W30" i="4"/>
  <c r="AX8" i="4"/>
  <c r="M25" i="6" s="1"/>
  <c r="Q17" i="4"/>
  <c r="AC6" i="4"/>
  <c r="S7" i="4"/>
  <c r="AB10" i="4"/>
  <c r="T11" i="4"/>
  <c r="J28" i="6" s="1"/>
  <c r="AB16" i="4"/>
  <c r="S18" i="4"/>
  <c r="AK22" i="4"/>
  <c r="AM22" i="4" s="1"/>
  <c r="B7" i="6" s="1"/>
  <c r="AK27" i="4"/>
  <c r="AM27" i="4" s="1"/>
  <c r="AS34" i="4"/>
  <c r="G51" i="6" s="1"/>
  <c r="B54" i="6"/>
  <c r="AJ37" i="4"/>
  <c r="AL37" i="4" s="1"/>
  <c r="AD38" i="4"/>
  <c r="B55" i="6"/>
  <c r="B55" i="7"/>
  <c r="T55" i="7" s="1"/>
  <c r="B45" i="7"/>
  <c r="T45" i="7" s="1"/>
  <c r="B35" i="7"/>
  <c r="T35" i="7" s="1"/>
  <c r="E45" i="7"/>
  <c r="A25" i="6"/>
  <c r="AB41" i="4"/>
  <c r="S42" i="4"/>
  <c r="U42" i="4" s="1"/>
  <c r="AE29" i="4"/>
  <c r="W29" i="4"/>
  <c r="V29" i="4"/>
  <c r="X29" i="4" s="1"/>
  <c r="X30" i="4"/>
  <c r="AA33" i="4"/>
  <c r="B54" i="7"/>
  <c r="T54" i="7" s="1"/>
  <c r="A56" i="6"/>
  <c r="AC39" i="4"/>
  <c r="S39" i="4"/>
  <c r="U39" i="4" s="1"/>
  <c r="X40" i="4"/>
  <c r="V22" i="4"/>
  <c r="X22" i="4" s="1"/>
  <c r="Y30" i="4"/>
  <c r="Y40" i="4"/>
  <c r="C56" i="6"/>
  <c r="AA8" i="4"/>
  <c r="S20" i="4"/>
  <c r="U20" i="4" s="1"/>
  <c r="W22" i="4"/>
  <c r="Z30" i="4"/>
  <c r="T34" i="4"/>
  <c r="AK38" i="4"/>
  <c r="AM38" i="4" s="1"/>
  <c r="Z40" i="4"/>
  <c r="AB30" i="4"/>
  <c r="AJ33" i="4"/>
  <c r="AL33" i="4" s="1"/>
  <c r="Z37" i="4"/>
  <c r="AA40" i="4"/>
  <c r="A46" i="6"/>
  <c r="Y22" i="4"/>
  <c r="AC30" i="4"/>
  <c r="U36" i="4"/>
  <c r="T36" i="4"/>
  <c r="J53" i="6" s="1"/>
  <c r="AD40" i="4"/>
  <c r="AW42" i="4"/>
  <c r="A53" i="6"/>
  <c r="B51" i="7"/>
  <c r="T51" i="7" s="1"/>
  <c r="Z22" i="4"/>
  <c r="AE40" i="4"/>
  <c r="AA43" i="4"/>
  <c r="B58" i="7"/>
  <c r="T58" i="7" s="1"/>
  <c r="S43" i="4"/>
  <c r="U43" i="4" s="1"/>
  <c r="R43" i="4"/>
  <c r="T43" i="4" s="1"/>
  <c r="B53" i="6"/>
  <c r="A60" i="6"/>
  <c r="AB22" i="4"/>
  <c r="AB24" i="4"/>
  <c r="Z34" i="4"/>
  <c r="AD37" i="4"/>
  <c r="B43" i="6"/>
  <c r="Y20" i="4"/>
  <c r="AC22" i="4"/>
  <c r="AW29" i="4"/>
  <c r="Q33" i="4"/>
  <c r="A50" i="6"/>
  <c r="AE33" i="4"/>
  <c r="B48" i="7"/>
  <c r="T48" i="7" s="1"/>
  <c r="AD33" i="4"/>
  <c r="AA34" i="4"/>
  <c r="AW39" i="4"/>
  <c r="B50" i="6"/>
  <c r="AA30" i="4"/>
  <c r="Q30" i="4"/>
  <c r="AC40" i="4"/>
  <c r="AB40" i="4"/>
  <c r="AW43" i="4"/>
  <c r="A47" i="6"/>
  <c r="C41" i="7"/>
  <c r="AX43" i="4"/>
  <c r="M60" i="6" s="1"/>
  <c r="AX36" i="4"/>
  <c r="M53" i="6" s="1"/>
  <c r="AD20" i="4"/>
  <c r="Y37" i="4"/>
  <c r="AX19" i="4"/>
  <c r="M36" i="6" s="1"/>
  <c r="AW33" i="4"/>
  <c r="R42" i="4"/>
  <c r="T42" i="4" s="1"/>
  <c r="B44" i="7"/>
  <c r="T44" i="7" s="1"/>
  <c r="T57" i="7"/>
  <c r="Q29" i="4"/>
  <c r="Q39" i="4"/>
  <c r="B39" i="7"/>
  <c r="T39" i="7" s="1"/>
  <c r="C57" i="7"/>
  <c r="R29" i="4"/>
  <c r="T29" i="4" s="1"/>
  <c r="Y34" i="4"/>
  <c r="Q34" i="4"/>
  <c r="R39" i="4"/>
  <c r="B34" i="7"/>
  <c r="T34" i="7" s="1"/>
  <c r="X38" i="4"/>
  <c r="AX41" i="4"/>
  <c r="M58" i="6" s="1"/>
  <c r="B56" i="7"/>
  <c r="T56" i="7" s="1"/>
  <c r="AX42" i="4"/>
  <c r="M59" i="6" s="1"/>
  <c r="B7" i="5" l="1"/>
  <c r="B39" i="5"/>
  <c r="B71" i="5"/>
  <c r="B103" i="5"/>
  <c r="B8" i="5"/>
  <c r="B40" i="5"/>
  <c r="B72" i="5"/>
  <c r="B104" i="5"/>
  <c r="B9" i="5"/>
  <c r="B41" i="5"/>
  <c r="B73" i="5"/>
  <c r="B105" i="5"/>
  <c r="B10" i="5"/>
  <c r="B42" i="5"/>
  <c r="B74" i="5"/>
  <c r="B106" i="5"/>
  <c r="B11" i="5"/>
  <c r="B43" i="5"/>
  <c r="B75" i="5"/>
  <c r="B6" i="5"/>
  <c r="B100" i="5"/>
  <c r="B12" i="5"/>
  <c r="B44" i="5"/>
  <c r="B76" i="5"/>
  <c r="B65" i="5"/>
  <c r="B13" i="5"/>
  <c r="B45" i="5"/>
  <c r="B77" i="5"/>
  <c r="B66" i="5"/>
  <c r="B14" i="5"/>
  <c r="B46" i="5"/>
  <c r="B78" i="5"/>
  <c r="B38" i="5"/>
  <c r="B15" i="5"/>
  <c r="B47" i="5"/>
  <c r="B79" i="5"/>
  <c r="B98" i="5"/>
  <c r="B16" i="5"/>
  <c r="B48" i="5"/>
  <c r="B80" i="5"/>
  <c r="B17" i="5"/>
  <c r="B49" i="5"/>
  <c r="B81" i="5"/>
  <c r="B18" i="5"/>
  <c r="B50" i="5"/>
  <c r="B82" i="5"/>
  <c r="B19" i="5"/>
  <c r="B51" i="5"/>
  <c r="B83" i="5"/>
  <c r="B20" i="5"/>
  <c r="B52" i="5"/>
  <c r="B84" i="5"/>
  <c r="B21" i="5"/>
  <c r="B53" i="5"/>
  <c r="B85" i="5"/>
  <c r="B91" i="5"/>
  <c r="B97" i="5"/>
  <c r="B22" i="5"/>
  <c r="B54" i="5"/>
  <c r="B86" i="5"/>
  <c r="B23" i="5"/>
  <c r="B55" i="5"/>
  <c r="B87" i="5"/>
  <c r="B33" i="5"/>
  <c r="B68" i="5"/>
  <c r="B102" i="5"/>
  <c r="B24" i="5"/>
  <c r="B56" i="5"/>
  <c r="B88" i="5"/>
  <c r="B89" i="5"/>
  <c r="B25" i="5"/>
  <c r="B57" i="5"/>
  <c r="B26" i="5"/>
  <c r="B58" i="5"/>
  <c r="B90" i="5"/>
  <c r="B70" i="5"/>
  <c r="B27" i="5"/>
  <c r="B59" i="5"/>
  <c r="B28" i="5"/>
  <c r="B60" i="5"/>
  <c r="B92" i="5"/>
  <c r="B94" i="5"/>
  <c r="B34" i="5"/>
  <c r="B29" i="5"/>
  <c r="B61" i="5"/>
  <c r="B93" i="5"/>
  <c r="B30" i="5"/>
  <c r="B62" i="5"/>
  <c r="B31" i="5"/>
  <c r="B63" i="5"/>
  <c r="B95" i="5"/>
  <c r="B32" i="5"/>
  <c r="B64" i="5"/>
  <c r="B96" i="5"/>
  <c r="B35" i="5"/>
  <c r="B67" i="5"/>
  <c r="B99" i="5"/>
  <c r="B36" i="5"/>
  <c r="B37" i="5"/>
  <c r="B69" i="5"/>
  <c r="B101" i="5"/>
  <c r="J34" i="6"/>
  <c r="AC17" i="4"/>
  <c r="K52" i="6"/>
  <c r="AE35" i="4"/>
  <c r="B6" i="7"/>
  <c r="B11" i="7" s="1"/>
  <c r="K49" i="6"/>
  <c r="AE32" i="4"/>
  <c r="K26" i="6"/>
  <c r="AE9" i="4"/>
  <c r="K48" i="6"/>
  <c r="AE31" i="4"/>
  <c r="J38" i="6"/>
  <c r="AC21" i="4"/>
  <c r="J32" i="6"/>
  <c r="AC15" i="4"/>
  <c r="AE20" i="4"/>
  <c r="K37" i="6"/>
  <c r="K23" i="6"/>
  <c r="AE6" i="4"/>
  <c r="J45" i="6"/>
  <c r="AC28" i="4"/>
  <c r="K40" i="6"/>
  <c r="AE23" i="4"/>
  <c r="J25" i="6"/>
  <c r="AC8" i="4"/>
  <c r="K51" i="6"/>
  <c r="AE34" i="4"/>
  <c r="K56" i="6"/>
  <c r="AE39" i="4"/>
  <c r="K27" i="6"/>
  <c r="AE10" i="4"/>
  <c r="J35" i="6"/>
  <c r="AC18" i="4"/>
  <c r="J60" i="6"/>
  <c r="AC43" i="4"/>
  <c r="K31" i="6"/>
  <c r="AE14" i="4"/>
  <c r="J27" i="6"/>
  <c r="AC10" i="4"/>
  <c r="J46" i="6"/>
  <c r="AC29" i="4"/>
  <c r="J59" i="6"/>
  <c r="AC42" i="4"/>
  <c r="K60" i="6"/>
  <c r="AE43" i="4"/>
  <c r="J33" i="6"/>
  <c r="AC16" i="4"/>
  <c r="J42" i="6"/>
  <c r="AC25" i="4"/>
  <c r="K59" i="6"/>
  <c r="AE42" i="4"/>
  <c r="K21" i="6"/>
  <c r="AE4" i="4"/>
  <c r="J24" i="6"/>
  <c r="AC7" i="4"/>
  <c r="J55" i="6"/>
  <c r="AC38" i="4"/>
  <c r="J52" i="6"/>
  <c r="AC35" i="4"/>
  <c r="K33" i="6"/>
  <c r="AE16" i="4"/>
  <c r="J26" i="6"/>
  <c r="AC9" i="4"/>
  <c r="K55" i="6"/>
  <c r="AE38" i="4"/>
  <c r="K28" i="6"/>
  <c r="AE11" i="4"/>
  <c r="J21" i="6"/>
  <c r="AC4" i="4"/>
  <c r="J29" i="6"/>
  <c r="AC12" i="4"/>
  <c r="K24" i="6"/>
  <c r="AE7" i="4"/>
  <c r="L29" i="6"/>
  <c r="D27" i="7"/>
  <c r="AU12" i="4"/>
  <c r="AT12" i="4"/>
  <c r="AQ12" i="4"/>
  <c r="AP12" i="4"/>
  <c r="AN12" i="4"/>
  <c r="AO12" i="4" s="1"/>
  <c r="AE24" i="4"/>
  <c r="K41" i="6"/>
  <c r="E23" i="6"/>
  <c r="N21" i="7"/>
  <c r="J30" i="6"/>
  <c r="AC13" i="4"/>
  <c r="I40" i="7"/>
  <c r="J53" i="7"/>
  <c r="H55" i="6"/>
  <c r="N41" i="7"/>
  <c r="E43" i="6"/>
  <c r="D33" i="7"/>
  <c r="L35" i="6"/>
  <c r="AQ18" i="4"/>
  <c r="AU18" i="4"/>
  <c r="AT18" i="4"/>
  <c r="AN18" i="4"/>
  <c r="AS18" i="4"/>
  <c r="G35" i="6" s="1"/>
  <c r="AR18" i="4"/>
  <c r="F35" i="6" s="1"/>
  <c r="AP18" i="4"/>
  <c r="AO18" i="4"/>
  <c r="J42" i="7"/>
  <c r="H44" i="6"/>
  <c r="M32" i="7"/>
  <c r="G32" i="7"/>
  <c r="E105" i="5"/>
  <c r="E89" i="5"/>
  <c r="E73" i="5"/>
  <c r="E57" i="5"/>
  <c r="E41" i="5"/>
  <c r="E25" i="5"/>
  <c r="E94" i="5"/>
  <c r="E78" i="5"/>
  <c r="E62" i="5"/>
  <c r="E46" i="5"/>
  <c r="E30" i="5"/>
  <c r="E103" i="5"/>
  <c r="E87" i="5"/>
  <c r="E71" i="5"/>
  <c r="E55" i="5"/>
  <c r="E39" i="5"/>
  <c r="E23" i="5"/>
  <c r="E106" i="5"/>
  <c r="E90" i="5"/>
  <c r="E74" i="5"/>
  <c r="E58" i="5"/>
  <c r="E42" i="5"/>
  <c r="E26" i="5"/>
  <c r="E92" i="5"/>
  <c r="E85" i="5"/>
  <c r="E77" i="5"/>
  <c r="E40" i="5"/>
  <c r="E33" i="5"/>
  <c r="E12" i="5"/>
  <c r="E99" i="5"/>
  <c r="E6" i="5"/>
  <c r="E47" i="5"/>
  <c r="L5" i="5"/>
  <c r="E84" i="5"/>
  <c r="E54" i="5"/>
  <c r="E18" i="5"/>
  <c r="L4" i="5"/>
  <c r="E91" i="5"/>
  <c r="E76" i="5"/>
  <c r="E69" i="5"/>
  <c r="E61" i="5"/>
  <c r="E32" i="5"/>
  <c r="E11" i="5"/>
  <c r="E98" i="5"/>
  <c r="E83" i="5"/>
  <c r="E24" i="5"/>
  <c r="E68" i="5"/>
  <c r="E38" i="5"/>
  <c r="E31" i="5"/>
  <c r="E17" i="5"/>
  <c r="L10" i="5"/>
  <c r="E75" i="5"/>
  <c r="E60" i="5"/>
  <c r="E53" i="5"/>
  <c r="E45" i="5"/>
  <c r="E10" i="5"/>
  <c r="E104" i="5"/>
  <c r="E52" i="5"/>
  <c r="E16" i="5"/>
  <c r="E59" i="5"/>
  <c r="E44" i="5"/>
  <c r="E37" i="5"/>
  <c r="E96" i="5"/>
  <c r="E81" i="5"/>
  <c r="E66" i="5"/>
  <c r="E51" i="5"/>
  <c r="E9" i="5"/>
  <c r="E88" i="5"/>
  <c r="E29" i="5"/>
  <c r="E22" i="5"/>
  <c r="E15" i="5"/>
  <c r="E36" i="5"/>
  <c r="L8" i="5"/>
  <c r="E95" i="5"/>
  <c r="E43" i="5"/>
  <c r="E102" i="5"/>
  <c r="E80" i="5"/>
  <c r="E65" i="5"/>
  <c r="E50" i="5"/>
  <c r="E8" i="5"/>
  <c r="E72" i="5"/>
  <c r="E35" i="5"/>
  <c r="E28" i="5"/>
  <c r="L7" i="5"/>
  <c r="E79" i="5"/>
  <c r="E63" i="5"/>
  <c r="E27" i="5"/>
  <c r="E93" i="5"/>
  <c r="E56" i="5"/>
  <c r="E21" i="5"/>
  <c r="E86" i="5"/>
  <c r="E67" i="5"/>
  <c r="E20" i="5"/>
  <c r="E49" i="5"/>
  <c r="E19" i="5"/>
  <c r="E82" i="5"/>
  <c r="E70" i="5"/>
  <c r="E14" i="5"/>
  <c r="E48" i="5"/>
  <c r="E13" i="5"/>
  <c r="E101" i="5"/>
  <c r="E7" i="5"/>
  <c r="E34" i="5"/>
  <c r="E64" i="5"/>
  <c r="E100" i="5"/>
  <c r="E97" i="5"/>
  <c r="D56" i="7"/>
  <c r="L58" i="6"/>
  <c r="AR41" i="4"/>
  <c r="F58" i="6" s="1"/>
  <c r="AU41" i="4"/>
  <c r="AT41" i="4"/>
  <c r="AS41" i="4"/>
  <c r="G58" i="6" s="1"/>
  <c r="AQ41" i="4"/>
  <c r="AP41" i="4"/>
  <c r="AO41" i="4"/>
  <c r="AN41" i="4"/>
  <c r="K25" i="6"/>
  <c r="AE8" i="4"/>
  <c r="K29" i="6"/>
  <c r="AE12" i="4"/>
  <c r="D35" i="7"/>
  <c r="AU20" i="4"/>
  <c r="AT20" i="4"/>
  <c r="AS20" i="4"/>
  <c r="G37" i="6" s="1"/>
  <c r="AR20" i="4"/>
  <c r="F37" i="6" s="1"/>
  <c r="AQ20" i="4"/>
  <c r="AP20" i="4"/>
  <c r="AO20" i="4"/>
  <c r="AN20" i="4"/>
  <c r="L37" i="6"/>
  <c r="D39" i="6"/>
  <c r="F37" i="7"/>
  <c r="I37" i="7" s="1"/>
  <c r="E20" i="7"/>
  <c r="C22" i="6"/>
  <c r="J40" i="6"/>
  <c r="AC23" i="4"/>
  <c r="C58" i="6"/>
  <c r="E56" i="7"/>
  <c r="J37" i="6"/>
  <c r="AC20" i="4"/>
  <c r="I53" i="6"/>
  <c r="K51" i="7"/>
  <c r="K53" i="7"/>
  <c r="I55" i="6"/>
  <c r="K41" i="7"/>
  <c r="I43" i="6"/>
  <c r="H41" i="6"/>
  <c r="J39" i="7"/>
  <c r="G49" i="7"/>
  <c r="A49" i="7"/>
  <c r="O49" i="7"/>
  <c r="P49" i="7" s="1"/>
  <c r="M49" i="7"/>
  <c r="R49" i="7"/>
  <c r="G41" i="7"/>
  <c r="A41" i="7"/>
  <c r="O41" i="7"/>
  <c r="P41" i="7" s="1"/>
  <c r="M41" i="7"/>
  <c r="R41" i="7"/>
  <c r="I41" i="6"/>
  <c r="K39" i="7"/>
  <c r="S27" i="7"/>
  <c r="AD12" i="4"/>
  <c r="AB12" i="4"/>
  <c r="K43" i="6"/>
  <c r="AE26" i="4"/>
  <c r="C31" i="6"/>
  <c r="E29" i="7"/>
  <c r="K39" i="6"/>
  <c r="AE22" i="4"/>
  <c r="C44" i="6"/>
  <c r="E42" i="7"/>
  <c r="K47" i="6"/>
  <c r="AE30" i="4"/>
  <c r="AE25" i="4"/>
  <c r="O39" i="7"/>
  <c r="P39" i="7" s="1"/>
  <c r="M39" i="7"/>
  <c r="A39" i="7"/>
  <c r="R39" i="7"/>
  <c r="G39" i="7"/>
  <c r="K35" i="6"/>
  <c r="AE18" i="4"/>
  <c r="H34" i="6"/>
  <c r="J32" i="7"/>
  <c r="L33" i="6"/>
  <c r="D31" i="7"/>
  <c r="AU16" i="4"/>
  <c r="AN16" i="4"/>
  <c r="AT16" i="4"/>
  <c r="AP16" i="4"/>
  <c r="AO16" i="4"/>
  <c r="AS16" i="4" s="1"/>
  <c r="G33" i="6" s="1"/>
  <c r="AR16" i="4"/>
  <c r="F33" i="6" s="1"/>
  <c r="AQ16" i="4"/>
  <c r="H53" i="6"/>
  <c r="J51" i="7"/>
  <c r="J58" i="6"/>
  <c r="AC41" i="4"/>
  <c r="K30" i="6"/>
  <c r="AE13" i="4"/>
  <c r="K32" i="7"/>
  <c r="O32" i="7" s="1"/>
  <c r="P32" i="7" s="1"/>
  <c r="I34" i="6"/>
  <c r="I21" i="7"/>
  <c r="D38" i="7"/>
  <c r="AT23" i="4"/>
  <c r="AU23" i="4"/>
  <c r="AS23" i="4"/>
  <c r="G40" i="6" s="1"/>
  <c r="AR23" i="4"/>
  <c r="F40" i="6" s="1"/>
  <c r="AQ23" i="4"/>
  <c r="AP23" i="4"/>
  <c r="AO23" i="4"/>
  <c r="AN23" i="4"/>
  <c r="L40" i="6"/>
  <c r="A40" i="7"/>
  <c r="R40" i="7"/>
  <c r="O40" i="7"/>
  <c r="P40" i="7" s="1"/>
  <c r="M40" i="7"/>
  <c r="G40" i="7"/>
  <c r="I53" i="7"/>
  <c r="J43" i="6"/>
  <c r="AC26" i="4"/>
  <c r="F49" i="7"/>
  <c r="D51" i="6"/>
  <c r="AQ33" i="4"/>
  <c r="L50" i="6"/>
  <c r="AU33" i="4"/>
  <c r="AT33" i="4"/>
  <c r="AS33" i="4"/>
  <c r="G50" i="6" s="1"/>
  <c r="AR33" i="4"/>
  <c r="F50" i="6" s="1"/>
  <c r="AP33" i="4"/>
  <c r="AO33" i="4"/>
  <c r="AN33" i="4"/>
  <c r="D48" i="7"/>
  <c r="L21" i="6"/>
  <c r="B6" i="6"/>
  <c r="B10" i="6" s="1"/>
  <c r="B16" i="6" s="1"/>
  <c r="B4" i="6"/>
  <c r="AU4" i="4"/>
  <c r="AT4" i="4"/>
  <c r="B13" i="6" s="1"/>
  <c r="AQ4" i="4"/>
  <c r="L9" i="5" s="1"/>
  <c r="AP4" i="4"/>
  <c r="AO4" i="4"/>
  <c r="AS4" i="4" s="1"/>
  <c r="G21" i="6" s="1"/>
  <c r="AN4" i="4"/>
  <c r="D19" i="7"/>
  <c r="AS43" i="4"/>
  <c r="G60" i="6" s="1"/>
  <c r="AO43" i="4"/>
  <c r="D58" i="7"/>
  <c r="L60" i="6"/>
  <c r="AU43" i="4"/>
  <c r="AT43" i="4"/>
  <c r="AQ43" i="4"/>
  <c r="AP43" i="4"/>
  <c r="AN43" i="4"/>
  <c r="AR43" i="4"/>
  <c r="F60" i="6" s="1"/>
  <c r="J28" i="7"/>
  <c r="H30" i="6"/>
  <c r="D26" i="7"/>
  <c r="L28" i="6"/>
  <c r="AP11" i="4"/>
  <c r="AU11" i="4"/>
  <c r="AT11" i="4"/>
  <c r="AQ11" i="4"/>
  <c r="AN11" i="4"/>
  <c r="AO11" i="4" s="1"/>
  <c r="J49" i="7"/>
  <c r="H51" i="6"/>
  <c r="C36" i="6"/>
  <c r="E34" i="7"/>
  <c r="E28" i="7"/>
  <c r="C30" i="6"/>
  <c r="G53" i="7"/>
  <c r="R53" i="7"/>
  <c r="O53" i="7"/>
  <c r="P53" i="7" s="1"/>
  <c r="A53" i="7"/>
  <c r="M53" i="7"/>
  <c r="AE5" i="4"/>
  <c r="E51" i="6"/>
  <c r="N49" i="7"/>
  <c r="AS30" i="4"/>
  <c r="G47" i="6" s="1"/>
  <c r="AR30" i="4"/>
  <c r="F47" i="6" s="1"/>
  <c r="AU30" i="4"/>
  <c r="AT30" i="4"/>
  <c r="AQ30" i="4"/>
  <c r="AP30" i="4"/>
  <c r="AO30" i="4"/>
  <c r="AN30" i="4"/>
  <c r="D45" i="7"/>
  <c r="L47" i="6"/>
  <c r="L38" i="6"/>
  <c r="D36" i="7"/>
  <c r="AU21" i="4"/>
  <c r="AT21" i="4"/>
  <c r="AR21" i="4"/>
  <c r="F38" i="6" s="1"/>
  <c r="AQ21" i="4"/>
  <c r="AP21" i="4"/>
  <c r="AO21" i="4"/>
  <c r="AN21" i="4"/>
  <c r="AS21" i="4"/>
  <c r="G38" i="6" s="1"/>
  <c r="R34" i="7"/>
  <c r="M34" i="7"/>
  <c r="A34" i="7"/>
  <c r="O34" i="7"/>
  <c r="P34" i="7" s="1"/>
  <c r="G34" i="7"/>
  <c r="F41" i="7"/>
  <c r="D43" i="6"/>
  <c r="L59" i="6"/>
  <c r="AS42" i="4"/>
  <c r="G59" i="6" s="1"/>
  <c r="D57" i="7"/>
  <c r="AU42" i="4"/>
  <c r="AT42" i="4"/>
  <c r="AR42" i="4"/>
  <c r="F59" i="6" s="1"/>
  <c r="AQ42" i="4"/>
  <c r="AP42" i="4"/>
  <c r="AO42" i="4"/>
  <c r="AN42" i="4"/>
  <c r="L26" i="6"/>
  <c r="AQ9" i="4"/>
  <c r="AP9" i="4"/>
  <c r="AU9" i="4"/>
  <c r="AN9" i="4"/>
  <c r="AO9" i="4" s="1"/>
  <c r="D24" i="7"/>
  <c r="AT9" i="4"/>
  <c r="D55" i="7"/>
  <c r="AO40" i="4"/>
  <c r="L57" i="6"/>
  <c r="AU40" i="4"/>
  <c r="AT40" i="4"/>
  <c r="AS40" i="4"/>
  <c r="G57" i="6" s="1"/>
  <c r="AR40" i="4"/>
  <c r="F57" i="6" s="1"/>
  <c r="AQ40" i="4"/>
  <c r="AP40" i="4"/>
  <c r="AN40" i="4"/>
  <c r="I32" i="7"/>
  <c r="D36" i="6"/>
  <c r="F34" i="7"/>
  <c r="AR13" i="4"/>
  <c r="F30" i="6" s="1"/>
  <c r="E46" i="7"/>
  <c r="C48" i="6"/>
  <c r="AC36" i="4"/>
  <c r="AP13" i="4"/>
  <c r="L45" i="6"/>
  <c r="AO28" i="4"/>
  <c r="AN28" i="4"/>
  <c r="D43" i="7"/>
  <c r="AQ28" i="4"/>
  <c r="AP28" i="4"/>
  <c r="AT28" i="4"/>
  <c r="AU28" i="4"/>
  <c r="AS28" i="4"/>
  <c r="G45" i="6" s="1"/>
  <c r="AR28" i="4"/>
  <c r="F45" i="6" s="1"/>
  <c r="AO13" i="4"/>
  <c r="AE15" i="4"/>
  <c r="K42" i="7"/>
  <c r="I44" i="6"/>
  <c r="C51" i="6"/>
  <c r="E49" i="7"/>
  <c r="AS29" i="4"/>
  <c r="G46" i="6" s="1"/>
  <c r="D44" i="7"/>
  <c r="L46" i="6"/>
  <c r="AT29" i="4"/>
  <c r="AR29" i="4"/>
  <c r="F46" i="6" s="1"/>
  <c r="AQ29" i="4"/>
  <c r="AP29" i="4"/>
  <c r="AO29" i="4"/>
  <c r="AN29" i="4"/>
  <c r="AU29" i="4"/>
  <c r="AC37" i="4"/>
  <c r="J54" i="6"/>
  <c r="K44" i="6"/>
  <c r="AE27" i="4"/>
  <c r="H36" i="6"/>
  <c r="J34" i="7"/>
  <c r="I23" i="6"/>
  <c r="K21" i="7"/>
  <c r="O21" i="7" s="1"/>
  <c r="P21" i="7" s="1"/>
  <c r="R42" i="7"/>
  <c r="M42" i="7"/>
  <c r="O42" i="7"/>
  <c r="P42" i="7" s="1"/>
  <c r="G42" i="7"/>
  <c r="A42" i="7"/>
  <c r="D54" i="7"/>
  <c r="AU39" i="4"/>
  <c r="AT39" i="4"/>
  <c r="AR39" i="4"/>
  <c r="F56" i="6" s="1"/>
  <c r="AQ39" i="4"/>
  <c r="AP39" i="4"/>
  <c r="AO39" i="4"/>
  <c r="AN39" i="4"/>
  <c r="L56" i="6"/>
  <c r="AS39" i="4"/>
  <c r="G56" i="6" s="1"/>
  <c r="AC34" i="4"/>
  <c r="J51" i="6"/>
  <c r="K28" i="7"/>
  <c r="I30" i="6"/>
  <c r="S32" i="7"/>
  <c r="AB17" i="4"/>
  <c r="I41" i="7"/>
  <c r="G37" i="7"/>
  <c r="R37" i="7"/>
  <c r="O37" i="7"/>
  <c r="P37" i="7" s="1"/>
  <c r="M37" i="7"/>
  <c r="A37" i="7"/>
  <c r="E39" i="6"/>
  <c r="N37" i="7"/>
  <c r="D20" i="7"/>
  <c r="L22" i="6"/>
  <c r="AP5" i="4"/>
  <c r="AN5" i="4"/>
  <c r="AO5" i="4" s="1"/>
  <c r="AQ5" i="4"/>
  <c r="AT5" i="4"/>
  <c r="AU5" i="4"/>
  <c r="AE28" i="4"/>
  <c r="E26" i="7"/>
  <c r="C28" i="6"/>
  <c r="M28" i="7"/>
  <c r="AD9" i="4"/>
  <c r="E36" i="6"/>
  <c r="N34" i="7"/>
  <c r="AD13" i="4"/>
  <c r="H39" i="6"/>
  <c r="J37" i="7"/>
  <c r="AC11" i="4"/>
  <c r="K58" i="6"/>
  <c r="AE41" i="4"/>
  <c r="C50" i="6"/>
  <c r="E48" i="7"/>
  <c r="AB9" i="4"/>
  <c r="J49" i="6"/>
  <c r="AC32" i="4"/>
  <c r="D30" i="7"/>
  <c r="AQ15" i="4"/>
  <c r="AP15" i="4"/>
  <c r="AN15" i="4"/>
  <c r="L32" i="6"/>
  <c r="AO15" i="4"/>
  <c r="AR15" i="4" s="1"/>
  <c r="F32" i="6" s="1"/>
  <c r="AT15" i="4"/>
  <c r="AU15" i="4"/>
  <c r="L27" i="6"/>
  <c r="AT10" i="4"/>
  <c r="D25" i="7"/>
  <c r="AQ10" i="4"/>
  <c r="AP10" i="4"/>
  <c r="AU10" i="4"/>
  <c r="AN10" i="4"/>
  <c r="AO10" i="4" s="1"/>
  <c r="AS14" i="4"/>
  <c r="G31" i="6" s="1"/>
  <c r="AR14" i="4"/>
  <c r="F31" i="6" s="1"/>
  <c r="AQ14" i="4"/>
  <c r="L31" i="6"/>
  <c r="AP14" i="4"/>
  <c r="D29" i="7"/>
  <c r="AN14" i="4"/>
  <c r="AU14" i="4"/>
  <c r="AT14" i="4"/>
  <c r="AO14" i="4"/>
  <c r="H23" i="6"/>
  <c r="J21" i="7"/>
  <c r="D44" i="6"/>
  <c r="F42" i="7"/>
  <c r="F21" i="7"/>
  <c r="D23" i="6"/>
  <c r="D23" i="7"/>
  <c r="AT8" i="4"/>
  <c r="AP8" i="4"/>
  <c r="AU8" i="4"/>
  <c r="AQ8" i="4"/>
  <c r="AN8" i="4"/>
  <c r="AO8" i="4" s="1"/>
  <c r="L25" i="6"/>
  <c r="K53" i="6"/>
  <c r="AE36" i="4"/>
  <c r="E52" i="7"/>
  <c r="C54" i="6"/>
  <c r="AD5" i="4"/>
  <c r="D22" i="7"/>
  <c r="L24" i="6"/>
  <c r="AU7" i="4"/>
  <c r="AT7" i="4"/>
  <c r="AN7" i="4"/>
  <c r="AO7" i="4" s="1"/>
  <c r="AQ7" i="4"/>
  <c r="AP7" i="4"/>
  <c r="D53" i="6"/>
  <c r="F51" i="7"/>
  <c r="I51" i="7" s="1"/>
  <c r="AC31" i="4"/>
  <c r="I36" i="6"/>
  <c r="K34" i="7"/>
  <c r="AS6" i="4"/>
  <c r="G23" i="6" s="1"/>
  <c r="N42" i="7"/>
  <c r="E44" i="6"/>
  <c r="E35" i="7"/>
  <c r="C37" i="6"/>
  <c r="D52" i="7"/>
  <c r="AQ37" i="4"/>
  <c r="AP37" i="4"/>
  <c r="AT37" i="4"/>
  <c r="AS37" i="4"/>
  <c r="G54" i="6" s="1"/>
  <c r="AR37" i="4"/>
  <c r="F54" i="6" s="1"/>
  <c r="AO37" i="4"/>
  <c r="AN37" i="4"/>
  <c r="AU37" i="4"/>
  <c r="L54" i="6"/>
  <c r="N51" i="7"/>
  <c r="E53" i="6"/>
  <c r="D46" i="7"/>
  <c r="L48" i="6"/>
  <c r="AU31" i="4"/>
  <c r="AT31" i="4"/>
  <c r="AS31" i="4"/>
  <c r="G48" i="6" s="1"/>
  <c r="AR31" i="4"/>
  <c r="F48" i="6" s="1"/>
  <c r="AQ31" i="4"/>
  <c r="AP31" i="4"/>
  <c r="AO31" i="4"/>
  <c r="AN31" i="4"/>
  <c r="D47" i="7"/>
  <c r="AU32" i="4"/>
  <c r="AT32" i="4"/>
  <c r="AS32" i="4"/>
  <c r="G49" i="6" s="1"/>
  <c r="AR32" i="4"/>
  <c r="F49" i="6" s="1"/>
  <c r="AQ32" i="4"/>
  <c r="AP32" i="4"/>
  <c r="AN32" i="4"/>
  <c r="L49" i="6"/>
  <c r="AO32" i="4"/>
  <c r="C26" i="6"/>
  <c r="E24" i="7"/>
  <c r="L52" i="6"/>
  <c r="AU35" i="4"/>
  <c r="AT35" i="4"/>
  <c r="AR35" i="4"/>
  <c r="F52" i="6" s="1"/>
  <c r="D50" i="7"/>
  <c r="AS35" i="4"/>
  <c r="G52" i="6" s="1"/>
  <c r="AP35" i="4"/>
  <c r="AQ35" i="4"/>
  <c r="AO35" i="4"/>
  <c r="AN35" i="4"/>
  <c r="AC5" i="4"/>
  <c r="O51" i="7"/>
  <c r="P51" i="7" s="1"/>
  <c r="G51" i="7"/>
  <c r="A51" i="7"/>
  <c r="R51" i="7"/>
  <c r="M51" i="7"/>
  <c r="G21" i="7"/>
  <c r="M21" i="7"/>
  <c r="F27" i="7" l="1"/>
  <c r="I27" i="7" s="1"/>
  <c r="D29" i="6"/>
  <c r="AS12" i="4"/>
  <c r="G29" i="6" s="1"/>
  <c r="AR12" i="4"/>
  <c r="F29" i="6" s="1"/>
  <c r="D28" i="6"/>
  <c r="F26" i="7"/>
  <c r="AS11" i="4"/>
  <c r="G28" i="6" s="1"/>
  <c r="AR11" i="4"/>
  <c r="F28" i="6" s="1"/>
  <c r="F23" i="7"/>
  <c r="I23" i="7" s="1"/>
  <c r="D25" i="6"/>
  <c r="AS8" i="4"/>
  <c r="G25" i="6" s="1"/>
  <c r="AR8" i="4"/>
  <c r="F25" i="6" s="1"/>
  <c r="D26" i="6"/>
  <c r="F24" i="7"/>
  <c r="AR9" i="4"/>
  <c r="F26" i="6" s="1"/>
  <c r="AS9" i="4"/>
  <c r="G26" i="6" s="1"/>
  <c r="D24" i="6"/>
  <c r="F22" i="7"/>
  <c r="I22" i="7" s="1"/>
  <c r="AS7" i="4"/>
  <c r="G24" i="6" s="1"/>
  <c r="AR7" i="4"/>
  <c r="F24" i="6" s="1"/>
  <c r="F25" i="7"/>
  <c r="I25" i="7" s="1"/>
  <c r="D27" i="6"/>
  <c r="AR10" i="4"/>
  <c r="F27" i="6" s="1"/>
  <c r="AS10" i="4"/>
  <c r="G27" i="6" s="1"/>
  <c r="D22" i="6"/>
  <c r="F20" i="7"/>
  <c r="G20" i="7" s="1"/>
  <c r="AS5" i="4"/>
  <c r="G22" i="6" s="1"/>
  <c r="AR5" i="4"/>
  <c r="F22" i="6" s="1"/>
  <c r="F90" i="5"/>
  <c r="G90" i="5" s="1"/>
  <c r="N58" i="7"/>
  <c r="E60" i="6"/>
  <c r="E48" i="6"/>
  <c r="N46" i="7"/>
  <c r="C78" i="5"/>
  <c r="D78" i="5" s="1"/>
  <c r="D60" i="6"/>
  <c r="F58" i="7"/>
  <c r="I58" i="7" s="1"/>
  <c r="I33" i="6"/>
  <c r="K31" i="7"/>
  <c r="H41" i="7"/>
  <c r="Q41" i="7"/>
  <c r="F35" i="7"/>
  <c r="I35" i="7" s="1"/>
  <c r="D37" i="6"/>
  <c r="F101" i="5"/>
  <c r="G101" i="5" s="1"/>
  <c r="C72" i="5"/>
  <c r="D72" i="5" s="1"/>
  <c r="C74" i="5"/>
  <c r="D74" i="5" s="1"/>
  <c r="C68" i="5"/>
  <c r="D68" i="5" s="1"/>
  <c r="F47" i="5"/>
  <c r="G47" i="5" s="1"/>
  <c r="C64" i="5"/>
  <c r="D64" i="5" s="1"/>
  <c r="F94" i="5"/>
  <c r="G94" i="5" s="1"/>
  <c r="C89" i="5"/>
  <c r="D89" i="5"/>
  <c r="H31" i="6"/>
  <c r="J29" i="7"/>
  <c r="J22" i="7"/>
  <c r="O22" i="7" s="1"/>
  <c r="P22" i="7" s="1"/>
  <c r="H24" i="6"/>
  <c r="E37" i="6"/>
  <c r="N35" i="7"/>
  <c r="C87" i="5"/>
  <c r="D87" i="5" s="1"/>
  <c r="F88" i="5"/>
  <c r="G88" i="5" s="1"/>
  <c r="F75" i="5"/>
  <c r="G75" i="5" s="1"/>
  <c r="C62" i="5"/>
  <c r="D62" i="5" s="1"/>
  <c r="C80" i="5"/>
  <c r="D80" i="5" s="1"/>
  <c r="F25" i="5"/>
  <c r="G25" i="5" s="1"/>
  <c r="F74" i="5"/>
  <c r="G74" i="5" s="1"/>
  <c r="I31" i="6"/>
  <c r="K29" i="7"/>
  <c r="O19" i="7"/>
  <c r="P19" i="7" s="1"/>
  <c r="G19" i="7"/>
  <c r="M19" i="7"/>
  <c r="F48" i="5"/>
  <c r="G48" i="5" s="1"/>
  <c r="C102" i="5"/>
  <c r="D102" i="5" s="1"/>
  <c r="F9" i="5"/>
  <c r="G9" i="5" s="1"/>
  <c r="C77" i="5"/>
  <c r="D77" i="5" s="1"/>
  <c r="C96" i="5"/>
  <c r="D96" i="5" s="1"/>
  <c r="F41" i="5"/>
  <c r="G41" i="5" s="1"/>
  <c r="F30" i="5"/>
  <c r="G30" i="5" s="1"/>
  <c r="C34" i="5"/>
  <c r="D34" i="5" s="1"/>
  <c r="F14" i="5"/>
  <c r="G14" i="5" s="1"/>
  <c r="C43" i="5"/>
  <c r="D43" i="5" s="1"/>
  <c r="C37" i="5"/>
  <c r="D37" i="5" s="1"/>
  <c r="F17" i="5"/>
  <c r="G17" i="5" s="1"/>
  <c r="C26" i="5"/>
  <c r="D26" i="5" s="1"/>
  <c r="C12" i="5"/>
  <c r="D12" i="5" s="1"/>
  <c r="F57" i="5"/>
  <c r="G57" i="5" s="1"/>
  <c r="F7" i="5"/>
  <c r="G7" i="5" s="1"/>
  <c r="F79" i="5"/>
  <c r="G79" i="5" s="1"/>
  <c r="F62" i="5"/>
  <c r="G62" i="5" s="1"/>
  <c r="N29" i="7"/>
  <c r="E31" i="6"/>
  <c r="C50" i="5"/>
  <c r="D50" i="5" s="1"/>
  <c r="F51" i="5"/>
  <c r="G51" i="5" s="1"/>
  <c r="F31" i="5"/>
  <c r="G31" i="5" s="1"/>
  <c r="C33" i="5"/>
  <c r="D33" i="5" s="1"/>
  <c r="C28" i="5"/>
  <c r="D28" i="5" s="1"/>
  <c r="F73" i="5"/>
  <c r="G73" i="5" s="1"/>
  <c r="F60" i="5"/>
  <c r="G60" i="5" s="1"/>
  <c r="K22" i="7"/>
  <c r="I24" i="6"/>
  <c r="F50" i="7"/>
  <c r="I50" i="7" s="1"/>
  <c r="D52" i="6"/>
  <c r="J44" i="7"/>
  <c r="H46" i="6"/>
  <c r="N19" i="7"/>
  <c r="E21" i="6"/>
  <c r="D40" i="6"/>
  <c r="F38" i="7"/>
  <c r="I38" i="7" s="1"/>
  <c r="J35" i="7"/>
  <c r="H37" i="6"/>
  <c r="C17" i="5"/>
  <c r="D17" i="5" s="1"/>
  <c r="C65" i="5"/>
  <c r="D65" i="5" s="1"/>
  <c r="F66" i="5"/>
  <c r="G66" i="5" s="1"/>
  <c r="F38" i="5"/>
  <c r="G38" i="5" s="1"/>
  <c r="C40" i="5"/>
  <c r="D40" i="5" s="1"/>
  <c r="C44" i="5"/>
  <c r="D44" i="5" s="1"/>
  <c r="F89" i="5"/>
  <c r="G89" i="5" s="1"/>
  <c r="F63" i="5"/>
  <c r="G63" i="5" s="1"/>
  <c r="C13" i="5"/>
  <c r="D13" i="5" s="1"/>
  <c r="I60" i="6"/>
  <c r="K58" i="7"/>
  <c r="G29" i="7"/>
  <c r="A29" i="7"/>
  <c r="R29" i="7"/>
  <c r="O29" i="7"/>
  <c r="P29" i="7" s="1"/>
  <c r="M29" i="7"/>
  <c r="F13" i="5"/>
  <c r="G13" i="5" s="1"/>
  <c r="N55" i="7"/>
  <c r="E57" i="6"/>
  <c r="K25" i="7"/>
  <c r="O25" i="7" s="1"/>
  <c r="P25" i="7" s="1"/>
  <c r="I27" i="6"/>
  <c r="I28" i="7"/>
  <c r="E40" i="6"/>
  <c r="N38" i="7"/>
  <c r="K35" i="7"/>
  <c r="I37" i="6"/>
  <c r="F82" i="5"/>
  <c r="G82" i="5" s="1"/>
  <c r="F28" i="5"/>
  <c r="G28" i="5" s="1"/>
  <c r="F81" i="5"/>
  <c r="G81" i="5" s="1"/>
  <c r="F68" i="5"/>
  <c r="G68" i="5" s="1"/>
  <c r="C55" i="5"/>
  <c r="D55" i="5" s="1"/>
  <c r="C60" i="5"/>
  <c r="D60" i="5" s="1"/>
  <c r="F105" i="5"/>
  <c r="G105" i="5" s="1"/>
  <c r="E29" i="6"/>
  <c r="N27" i="7"/>
  <c r="F15" i="5"/>
  <c r="G15" i="5" s="1"/>
  <c r="H33" i="6"/>
  <c r="J31" i="7"/>
  <c r="O31" i="7" s="1"/>
  <c r="P31" i="7" s="1"/>
  <c r="Q51" i="7"/>
  <c r="H51" i="7"/>
  <c r="H39" i="7"/>
  <c r="Q39" i="7"/>
  <c r="H49" i="7"/>
  <c r="Q49" i="7"/>
  <c r="O35" i="7"/>
  <c r="P35" i="7" s="1"/>
  <c r="G35" i="7"/>
  <c r="A35" i="7"/>
  <c r="R35" i="7"/>
  <c r="M35" i="7"/>
  <c r="F19" i="5"/>
  <c r="G19" i="5" s="1"/>
  <c r="F35" i="5"/>
  <c r="G35" i="5" s="1"/>
  <c r="F96" i="5"/>
  <c r="G96" i="5" s="1"/>
  <c r="C11" i="5"/>
  <c r="D11" i="5" s="1"/>
  <c r="C70" i="5"/>
  <c r="D70" i="5" s="1"/>
  <c r="C76" i="5"/>
  <c r="D76" i="5" s="1"/>
  <c r="Q32" i="7"/>
  <c r="H32" i="7"/>
  <c r="C71" i="5"/>
  <c r="D71" i="5" s="1"/>
  <c r="N31" i="7"/>
  <c r="E33" i="6"/>
  <c r="E46" i="6"/>
  <c r="N44" i="7"/>
  <c r="H57" i="6"/>
  <c r="J55" i="7"/>
  <c r="C49" i="5"/>
  <c r="D49" i="5" s="1"/>
  <c r="C58" i="5"/>
  <c r="D58" i="5" s="1"/>
  <c r="C23" i="5"/>
  <c r="D23" i="5" s="1"/>
  <c r="F24" i="5"/>
  <c r="G24" i="5" s="1"/>
  <c r="F6" i="5"/>
  <c r="G6" i="5" s="1"/>
  <c r="C92" i="5"/>
  <c r="D92" i="5" s="1"/>
  <c r="C66" i="5"/>
  <c r="D66" i="5" s="1"/>
  <c r="F22" i="5"/>
  <c r="G22" i="5" s="1"/>
  <c r="K44" i="7"/>
  <c r="I46" i="6"/>
  <c r="I34" i="7"/>
  <c r="I49" i="7"/>
  <c r="I57" i="6"/>
  <c r="K55" i="7"/>
  <c r="H21" i="6"/>
  <c r="J19" i="7"/>
  <c r="C20" i="5"/>
  <c r="D20" i="5" s="1"/>
  <c r="F72" i="5"/>
  <c r="G72" i="5" s="1"/>
  <c r="C30" i="5"/>
  <c r="D30" i="5" s="1"/>
  <c r="C46" i="5"/>
  <c r="D46" i="5" s="1"/>
  <c r="C85" i="5"/>
  <c r="D85" i="5" s="1"/>
  <c r="C8" i="5"/>
  <c r="D8" i="5" s="1"/>
  <c r="H29" i="6"/>
  <c r="J27" i="7"/>
  <c r="F91" i="5"/>
  <c r="G91" i="5" s="1"/>
  <c r="C24" i="5"/>
  <c r="D24" i="5" s="1"/>
  <c r="K57" i="7"/>
  <c r="I59" i="6"/>
  <c r="F84" i="5"/>
  <c r="G84" i="5" s="1"/>
  <c r="D54" i="6"/>
  <c r="F52" i="7"/>
  <c r="M25" i="7"/>
  <c r="F36" i="7"/>
  <c r="I36" i="7" s="1"/>
  <c r="D38" i="6"/>
  <c r="I21" i="6"/>
  <c r="K19" i="7"/>
  <c r="K38" i="7"/>
  <c r="I40" i="6"/>
  <c r="F49" i="5"/>
  <c r="G49" i="5" s="1"/>
  <c r="F8" i="5"/>
  <c r="G8" i="5" s="1"/>
  <c r="F37" i="5"/>
  <c r="G37" i="5" s="1"/>
  <c r="C61" i="5"/>
  <c r="D61" i="5" s="1"/>
  <c r="F99" i="5"/>
  <c r="G99" i="5" s="1"/>
  <c r="F23" i="5"/>
  <c r="G23" i="5" s="1"/>
  <c r="I29" i="6"/>
  <c r="K27" i="7"/>
  <c r="O27" i="7" s="1"/>
  <c r="P27" i="7" s="1"/>
  <c r="C16" i="5"/>
  <c r="D16" i="5" s="1"/>
  <c r="F29" i="5"/>
  <c r="G29" i="5" s="1"/>
  <c r="B14" i="6"/>
  <c r="H40" i="6"/>
  <c r="J38" i="7"/>
  <c r="C86" i="5"/>
  <c r="D86" i="5" s="1"/>
  <c r="C15" i="5"/>
  <c r="D15" i="5" s="1"/>
  <c r="F44" i="5"/>
  <c r="G44" i="5" s="1"/>
  <c r="C91" i="5"/>
  <c r="D91" i="5" s="1"/>
  <c r="F12" i="5"/>
  <c r="G12" i="5" s="1"/>
  <c r="F39" i="5"/>
  <c r="G39" i="5" s="1"/>
  <c r="G27" i="7"/>
  <c r="M27" i="7"/>
  <c r="F10" i="5"/>
  <c r="G10" i="5" s="1"/>
  <c r="F45" i="5"/>
  <c r="G45" i="5" s="1"/>
  <c r="G57" i="7"/>
  <c r="A57" i="7"/>
  <c r="R57" i="7"/>
  <c r="O57" i="7"/>
  <c r="P57" i="7" s="1"/>
  <c r="M57" i="7"/>
  <c r="H40" i="7"/>
  <c r="Q40" i="7"/>
  <c r="B9" i="6"/>
  <c r="B15" i="6" s="1"/>
  <c r="A38" i="7"/>
  <c r="R38" i="7"/>
  <c r="O38" i="7"/>
  <c r="P38" i="7" s="1"/>
  <c r="M38" i="7"/>
  <c r="G38" i="7"/>
  <c r="C101" i="5"/>
  <c r="D101" i="5" s="1"/>
  <c r="C36" i="5"/>
  <c r="D36" i="5" s="1"/>
  <c r="C52" i="5"/>
  <c r="D52" i="5" s="1"/>
  <c r="C98" i="5"/>
  <c r="D98" i="5" s="1"/>
  <c r="F33" i="5"/>
  <c r="G33" i="5" s="1"/>
  <c r="F55" i="5"/>
  <c r="G55" i="5" s="1"/>
  <c r="F104" i="5"/>
  <c r="G104" i="5" s="1"/>
  <c r="F56" i="7"/>
  <c r="D58" i="6"/>
  <c r="C53" i="5"/>
  <c r="D53" i="5" s="1"/>
  <c r="F50" i="5"/>
  <c r="G50" i="5" s="1"/>
  <c r="F59" i="5"/>
  <c r="G59" i="5" s="1"/>
  <c r="C39" i="5"/>
  <c r="D39" i="5" s="1"/>
  <c r="F40" i="5"/>
  <c r="G40" i="5" s="1"/>
  <c r="F71" i="5"/>
  <c r="G71" i="5" s="1"/>
  <c r="D31" i="6"/>
  <c r="F29" i="7"/>
  <c r="F31" i="7"/>
  <c r="I31" i="7" s="1"/>
  <c r="D33" i="6"/>
  <c r="Q21" i="7"/>
  <c r="H21" i="7"/>
  <c r="F70" i="5"/>
  <c r="G70" i="5" s="1"/>
  <c r="E54" i="6"/>
  <c r="N52" i="7"/>
  <c r="K30" i="7"/>
  <c r="O30" i="7" s="1"/>
  <c r="P30" i="7" s="1"/>
  <c r="I32" i="6"/>
  <c r="D30" i="6"/>
  <c r="F28" i="7"/>
  <c r="G28" i="7" s="1"/>
  <c r="AS13" i="4"/>
  <c r="G30" i="6" s="1"/>
  <c r="J36" i="7"/>
  <c r="H38" i="6"/>
  <c r="N56" i="7"/>
  <c r="E58" i="6"/>
  <c r="F20" i="5"/>
  <c r="G20" i="5" s="1"/>
  <c r="F65" i="5"/>
  <c r="G65" i="5" s="1"/>
  <c r="C54" i="5"/>
  <c r="D54" i="5" s="1"/>
  <c r="F77" i="5"/>
  <c r="G77" i="5" s="1"/>
  <c r="F87" i="5"/>
  <c r="G87" i="5" s="1"/>
  <c r="F33" i="7"/>
  <c r="I33" i="7" s="1"/>
  <c r="D35" i="6"/>
  <c r="C14" i="5"/>
  <c r="D14" i="5" s="1"/>
  <c r="C81" i="5"/>
  <c r="D81" i="5" s="1"/>
  <c r="Q37" i="7"/>
  <c r="H37" i="7"/>
  <c r="H26" i="6"/>
  <c r="J24" i="7"/>
  <c r="I24" i="7"/>
  <c r="N23" i="7"/>
  <c r="E25" i="6"/>
  <c r="AS15" i="4"/>
  <c r="G32" i="6" s="1"/>
  <c r="J54" i="7"/>
  <c r="H56" i="6"/>
  <c r="O24" i="7"/>
  <c r="P24" i="7" s="1"/>
  <c r="M24" i="7"/>
  <c r="G24" i="7"/>
  <c r="K36" i="7"/>
  <c r="I38" i="6"/>
  <c r="A48" i="7"/>
  <c r="R48" i="7"/>
  <c r="O48" i="7"/>
  <c r="P48" i="7" s="1"/>
  <c r="M48" i="7"/>
  <c r="G48" i="7"/>
  <c r="I42" i="7"/>
  <c r="F67" i="5"/>
  <c r="G67" i="5" s="1"/>
  <c r="F80" i="5"/>
  <c r="G80" i="5" s="1"/>
  <c r="F16" i="5"/>
  <c r="G16" i="5" s="1"/>
  <c r="C106" i="5"/>
  <c r="D106" i="5" s="1"/>
  <c r="F85" i="5"/>
  <c r="G85" i="5" s="1"/>
  <c r="F103" i="5"/>
  <c r="G103" i="5" s="1"/>
  <c r="N33" i="7"/>
  <c r="E35" i="6"/>
  <c r="F106" i="5"/>
  <c r="G106" i="5" s="1"/>
  <c r="M31" i="7"/>
  <c r="G31" i="7"/>
  <c r="I48" i="6"/>
  <c r="K46" i="7"/>
  <c r="R50" i="7"/>
  <c r="M50" i="7"/>
  <c r="O50" i="7"/>
  <c r="P50" i="7" s="1"/>
  <c r="G50" i="7"/>
  <c r="A50" i="7"/>
  <c r="K23" i="7"/>
  <c r="O23" i="7" s="1"/>
  <c r="P23" i="7" s="1"/>
  <c r="I25" i="6"/>
  <c r="R52" i="7"/>
  <c r="M52" i="7"/>
  <c r="O52" i="7"/>
  <c r="P52" i="7" s="1"/>
  <c r="G52" i="7"/>
  <c r="A52" i="7"/>
  <c r="J30" i="7"/>
  <c r="H32" i="6"/>
  <c r="K20" i="7"/>
  <c r="I22" i="6"/>
  <c r="K54" i="7"/>
  <c r="I56" i="6"/>
  <c r="R36" i="7"/>
  <c r="M36" i="7"/>
  <c r="O36" i="7"/>
  <c r="P36" i="7" s="1"/>
  <c r="G36" i="7"/>
  <c r="A36" i="7"/>
  <c r="H28" i="6"/>
  <c r="J26" i="7"/>
  <c r="F86" i="5"/>
  <c r="G86" i="5" s="1"/>
  <c r="F102" i="5"/>
  <c r="G102" i="5" s="1"/>
  <c r="F52" i="5"/>
  <c r="G52" i="5" s="1"/>
  <c r="C18" i="5"/>
  <c r="D18" i="5" s="1"/>
  <c r="F92" i="5"/>
  <c r="G92" i="5" s="1"/>
  <c r="C19" i="5"/>
  <c r="D19" i="5" s="1"/>
  <c r="R58" i="7"/>
  <c r="O58" i="7"/>
  <c r="P58" i="7" s="1"/>
  <c r="M58" i="7"/>
  <c r="G58" i="7"/>
  <c r="A58" i="7"/>
  <c r="R44" i="7"/>
  <c r="M44" i="7"/>
  <c r="A44" i="7"/>
  <c r="G44" i="7"/>
  <c r="O44" i="7"/>
  <c r="P44" i="7" s="1"/>
  <c r="N54" i="7"/>
  <c r="E56" i="6"/>
  <c r="D49" i="6"/>
  <c r="F47" i="7"/>
  <c r="I47" i="7" s="1"/>
  <c r="A54" i="7"/>
  <c r="O54" i="7"/>
  <c r="P54" i="7" s="1"/>
  <c r="M54" i="7"/>
  <c r="G54" i="7"/>
  <c r="R54" i="7"/>
  <c r="I45" i="6"/>
  <c r="K43" i="7"/>
  <c r="K24" i="7"/>
  <c r="I26" i="6"/>
  <c r="I28" i="6"/>
  <c r="K26" i="7"/>
  <c r="O26" i="7" s="1"/>
  <c r="P26" i="7" s="1"/>
  <c r="D50" i="6"/>
  <c r="F48" i="7"/>
  <c r="I48" i="7" s="1"/>
  <c r="H58" i="6"/>
  <c r="J56" i="7"/>
  <c r="F21" i="5"/>
  <c r="G21" i="5" s="1"/>
  <c r="C22" i="5"/>
  <c r="D22" i="5" s="1"/>
  <c r="C104" i="5"/>
  <c r="D104" i="5" s="1"/>
  <c r="C69" i="5"/>
  <c r="D69" i="5" s="1"/>
  <c r="C100" i="5"/>
  <c r="D100" i="5" s="1"/>
  <c r="C35" i="5"/>
  <c r="D35" i="5" s="1"/>
  <c r="C32" i="5"/>
  <c r="D32" i="5" s="1"/>
  <c r="I26" i="7"/>
  <c r="J23" i="7"/>
  <c r="H25" i="6"/>
  <c r="J43" i="7"/>
  <c r="H45" i="6"/>
  <c r="E28" i="6"/>
  <c r="N26" i="7"/>
  <c r="E50" i="6"/>
  <c r="N48" i="7"/>
  <c r="K56" i="7"/>
  <c r="I58" i="6"/>
  <c r="C56" i="5"/>
  <c r="D56" i="5" s="1"/>
  <c r="C29" i="5"/>
  <c r="D29" i="5" s="1"/>
  <c r="C10" i="5"/>
  <c r="D10" i="5" s="1"/>
  <c r="F83" i="5"/>
  <c r="G83" i="5" s="1"/>
  <c r="C47" i="5"/>
  <c r="D47" i="5" s="1"/>
  <c r="C51" i="5"/>
  <c r="D51" i="5" s="1"/>
  <c r="E24" i="6"/>
  <c r="N22" i="7"/>
  <c r="F18" i="5"/>
  <c r="G18" i="5" s="1"/>
  <c r="F53" i="5"/>
  <c r="G53" i="5" s="1"/>
  <c r="D21" i="6"/>
  <c r="F19" i="7"/>
  <c r="I19" i="7" s="1"/>
  <c r="B8" i="6"/>
  <c r="M23" i="7"/>
  <c r="Q42" i="7"/>
  <c r="H42" i="7"/>
  <c r="N43" i="7"/>
  <c r="E45" i="6"/>
  <c r="E26" i="6"/>
  <c r="N24" i="7"/>
  <c r="G45" i="7"/>
  <c r="R45" i="7"/>
  <c r="O45" i="7"/>
  <c r="P45" i="7" s="1"/>
  <c r="M45" i="7"/>
  <c r="A45" i="7"/>
  <c r="I29" i="7"/>
  <c r="L6" i="5"/>
  <c r="F43" i="5"/>
  <c r="G43" i="5" s="1"/>
  <c r="C45" i="5"/>
  <c r="D45" i="5"/>
  <c r="F98" i="5"/>
  <c r="G98" i="5" s="1"/>
  <c r="C63" i="5"/>
  <c r="D63" i="5" s="1"/>
  <c r="C67" i="5"/>
  <c r="D67" i="5" s="1"/>
  <c r="J33" i="7"/>
  <c r="H35" i="6"/>
  <c r="N47" i="7"/>
  <c r="E49" i="6"/>
  <c r="N30" i="7"/>
  <c r="E32" i="6"/>
  <c r="M26" i="7"/>
  <c r="G26" i="7"/>
  <c r="F56" i="5"/>
  <c r="G56" i="5" s="1"/>
  <c r="F95" i="5"/>
  <c r="G95" i="5" s="1"/>
  <c r="C75" i="5"/>
  <c r="D75" i="5" s="1"/>
  <c r="F11" i="5"/>
  <c r="G11" i="5" s="1"/>
  <c r="C79" i="5"/>
  <c r="D79" i="5" s="1"/>
  <c r="C83" i="5"/>
  <c r="D83" i="5" s="1"/>
  <c r="I35" i="6"/>
  <c r="K33" i="7"/>
  <c r="J57" i="7"/>
  <c r="H59" i="6"/>
  <c r="F78" i="5"/>
  <c r="G78" i="5" s="1"/>
  <c r="D46" i="6"/>
  <c r="F44" i="7"/>
  <c r="I44" i="7" s="1"/>
  <c r="Q53" i="7"/>
  <c r="H53" i="7"/>
  <c r="N25" i="7"/>
  <c r="E27" i="6"/>
  <c r="D56" i="6"/>
  <c r="F54" i="7"/>
  <c r="I54" i="7" s="1"/>
  <c r="J52" i="7"/>
  <c r="H54" i="6"/>
  <c r="E22" i="6"/>
  <c r="N20" i="7"/>
  <c r="O43" i="7"/>
  <c r="P43" i="7" s="1"/>
  <c r="G43" i="7"/>
  <c r="A43" i="7"/>
  <c r="R43" i="7"/>
  <c r="M43" i="7"/>
  <c r="D47" i="6"/>
  <c r="F45" i="7"/>
  <c r="I45" i="7" s="1"/>
  <c r="H50" i="6"/>
  <c r="J48" i="7"/>
  <c r="A56" i="7"/>
  <c r="R56" i="7"/>
  <c r="O56" i="7"/>
  <c r="P56" i="7" s="1"/>
  <c r="M56" i="7"/>
  <c r="G56" i="7"/>
  <c r="C93" i="5"/>
  <c r="D93" i="5" s="1"/>
  <c r="C82" i="5"/>
  <c r="D82" i="5" s="1"/>
  <c r="F32" i="5"/>
  <c r="G32" i="5" s="1"/>
  <c r="C95" i="5"/>
  <c r="D95" i="5" s="1"/>
  <c r="C99" i="5"/>
  <c r="D99" i="5" s="1"/>
  <c r="C105" i="5"/>
  <c r="D105" i="5" s="1"/>
  <c r="J58" i="7"/>
  <c r="H60" i="6"/>
  <c r="C94" i="5"/>
  <c r="D94" i="5" s="1"/>
  <c r="J46" i="7"/>
  <c r="H48" i="6"/>
  <c r="A46" i="7"/>
  <c r="R46" i="7"/>
  <c r="O46" i="7"/>
  <c r="P46" i="7" s="1"/>
  <c r="M46" i="7"/>
  <c r="G46" i="7"/>
  <c r="AR4" i="4"/>
  <c r="F21" i="6" s="1"/>
  <c r="K50" i="7"/>
  <c r="I52" i="6"/>
  <c r="E47" i="6"/>
  <c r="N45" i="7"/>
  <c r="K48" i="7"/>
  <c r="I50" i="6"/>
  <c r="I56" i="7"/>
  <c r="F97" i="5"/>
  <c r="G97" i="5" s="1"/>
  <c r="C27" i="5"/>
  <c r="D27" i="5" s="1"/>
  <c r="F36" i="5"/>
  <c r="G36" i="5" s="1"/>
  <c r="C97" i="5"/>
  <c r="D97" i="5" s="1"/>
  <c r="F61" i="5"/>
  <c r="G61" i="5" s="1"/>
  <c r="C6" i="5"/>
  <c r="D6" i="5" s="1"/>
  <c r="C25" i="5"/>
  <c r="D25" i="5" s="1"/>
  <c r="F46" i="7"/>
  <c r="I46" i="7" s="1"/>
  <c r="D48" i="6"/>
  <c r="C42" i="5"/>
  <c r="D42" i="5" s="1"/>
  <c r="Q34" i="7"/>
  <c r="H34" i="7"/>
  <c r="M22" i="7"/>
  <c r="G22" i="7"/>
  <c r="K52" i="7"/>
  <c r="I54" i="6"/>
  <c r="O55" i="7"/>
  <c r="P55" i="7" s="1"/>
  <c r="M55" i="7"/>
  <c r="R55" i="7"/>
  <c r="G55" i="7"/>
  <c r="A55" i="7"/>
  <c r="F30" i="7"/>
  <c r="I30" i="7" s="1"/>
  <c r="D32" i="6"/>
  <c r="F43" i="7"/>
  <c r="I43" i="7" s="1"/>
  <c r="D45" i="6"/>
  <c r="F100" i="5"/>
  <c r="G100" i="5" s="1"/>
  <c r="C7" i="5"/>
  <c r="D7" i="5" s="1"/>
  <c r="C88" i="5"/>
  <c r="D88" i="5" s="1"/>
  <c r="C31" i="5"/>
  <c r="D31" i="5" s="1"/>
  <c r="F69" i="5"/>
  <c r="G69" i="5" s="1"/>
  <c r="F26" i="5"/>
  <c r="G26" i="5" s="1"/>
  <c r="C41" i="5"/>
  <c r="D41" i="5" s="1"/>
  <c r="G33" i="7"/>
  <c r="A33" i="7"/>
  <c r="O33" i="7"/>
  <c r="P33" i="7" s="1"/>
  <c r="M33" i="7"/>
  <c r="R33" i="7"/>
  <c r="O47" i="7"/>
  <c r="P47" i="7" s="1"/>
  <c r="M47" i="7"/>
  <c r="R47" i="7"/>
  <c r="G47" i="7"/>
  <c r="A47" i="7"/>
  <c r="E30" i="6"/>
  <c r="N28" i="7"/>
  <c r="C59" i="5"/>
  <c r="D59" i="5" s="1"/>
  <c r="F46" i="5"/>
  <c r="G46" i="5" s="1"/>
  <c r="C48" i="5"/>
  <c r="D48" i="5" s="1"/>
  <c r="N50" i="7"/>
  <c r="E52" i="6"/>
  <c r="J50" i="7"/>
  <c r="H52" i="6"/>
  <c r="D57" i="6"/>
  <c r="F55" i="7"/>
  <c r="I55" i="7" s="1"/>
  <c r="J20" i="7"/>
  <c r="H22" i="6"/>
  <c r="M30" i="7"/>
  <c r="F57" i="7"/>
  <c r="I57" i="7" s="1"/>
  <c r="D59" i="6"/>
  <c r="H47" i="6"/>
  <c r="J45" i="7"/>
  <c r="F64" i="5"/>
  <c r="G64" i="5" s="1"/>
  <c r="F93" i="5"/>
  <c r="G93" i="5" s="1"/>
  <c r="C103" i="5"/>
  <c r="D103" i="5" s="1"/>
  <c r="C38" i="5"/>
  <c r="D38" i="5" s="1"/>
  <c r="F76" i="5"/>
  <c r="G76" i="5" s="1"/>
  <c r="F42" i="5"/>
  <c r="G42" i="5" s="1"/>
  <c r="C57" i="5"/>
  <c r="D57" i="5" s="1"/>
  <c r="F54" i="5"/>
  <c r="G54" i="5" s="1"/>
  <c r="C21" i="5"/>
  <c r="D21" i="5" s="1"/>
  <c r="I52" i="7"/>
  <c r="N36" i="7"/>
  <c r="E38" i="6"/>
  <c r="J25" i="7"/>
  <c r="H27" i="6"/>
  <c r="H49" i="6"/>
  <c r="J47" i="7"/>
  <c r="I49" i="6"/>
  <c r="K47" i="7"/>
  <c r="M20" i="7"/>
  <c r="O20" i="7"/>
  <c r="P20" i="7" s="1"/>
  <c r="N57" i="7"/>
  <c r="E59" i="6"/>
  <c r="I47" i="6"/>
  <c r="K45" i="7"/>
  <c r="F34" i="5"/>
  <c r="G34" i="5" s="1"/>
  <c r="F27" i="5"/>
  <c r="G27" i="5" s="1"/>
  <c r="C9" i="5"/>
  <c r="D9" i="5" s="1"/>
  <c r="C90" i="5"/>
  <c r="D90" i="5" s="1"/>
  <c r="C84" i="5"/>
  <c r="D84" i="5" s="1"/>
  <c r="F58" i="5"/>
  <c r="G58" i="5" s="1"/>
  <c r="C73" i="5"/>
  <c r="D73" i="5" s="1"/>
  <c r="Q20" i="7" l="1"/>
  <c r="H20" i="7"/>
  <c r="Q58" i="7"/>
  <c r="H58" i="7"/>
  <c r="H57" i="7"/>
  <c r="Q57" i="7"/>
  <c r="Q56" i="7"/>
  <c r="H56" i="7"/>
  <c r="Q27" i="7"/>
  <c r="H27" i="7"/>
  <c r="Q24" i="7"/>
  <c r="H24" i="7"/>
  <c r="Q28" i="7"/>
  <c r="H28" i="7"/>
  <c r="O28" i="7" s="1"/>
  <c r="P28" i="7" s="1"/>
  <c r="A28" i="7"/>
  <c r="Q19" i="7"/>
  <c r="H19" i="7"/>
  <c r="A21" i="7"/>
  <c r="Q29" i="7"/>
  <c r="H29" i="7"/>
  <c r="Q48" i="7"/>
  <c r="H48" i="7"/>
  <c r="H47" i="7"/>
  <c r="Q47" i="7"/>
  <c r="Q46" i="7"/>
  <c r="H46" i="7"/>
  <c r="Q35" i="7"/>
  <c r="H35" i="7"/>
  <c r="G23" i="7"/>
  <c r="I20" i="7"/>
  <c r="H31" i="7"/>
  <c r="Q31" i="7"/>
  <c r="Q43" i="7"/>
  <c r="H43" i="7"/>
  <c r="H33" i="7"/>
  <c r="Q33" i="7"/>
  <c r="G30" i="7"/>
  <c r="A26" i="7"/>
  <c r="Q38" i="7"/>
  <c r="H38" i="7"/>
  <c r="Q52" i="7"/>
  <c r="H52" i="7"/>
  <c r="H55" i="7"/>
  <c r="Q55" i="7"/>
  <c r="Q45" i="7"/>
  <c r="H45" i="7"/>
  <c r="H54" i="7"/>
  <c r="Q54" i="7"/>
  <c r="Q50" i="7"/>
  <c r="H50" i="7"/>
  <c r="Q22" i="7"/>
  <c r="H22" i="7"/>
  <c r="A22" i="7"/>
  <c r="Q26" i="7"/>
  <c r="H26" i="7"/>
  <c r="B7" i="7"/>
  <c r="B8" i="7" s="1"/>
  <c r="B9" i="7" s="1"/>
  <c r="B12" i="7" s="1"/>
  <c r="B11" i="6"/>
  <c r="B5" i="7" s="1"/>
  <c r="A24" i="7"/>
  <c r="G25" i="7"/>
  <c r="Q36" i="7"/>
  <c r="H36" i="7"/>
  <c r="Q44" i="7"/>
  <c r="H44" i="7"/>
  <c r="B12" i="6"/>
  <c r="R28" i="7" l="1"/>
  <c r="R21" i="7"/>
  <c r="R32" i="7"/>
  <c r="R20" i="7"/>
  <c r="R30" i="7"/>
  <c r="R22" i="7"/>
  <c r="R25" i="7"/>
  <c r="R23" i="7"/>
  <c r="R26" i="7"/>
  <c r="R19" i="7"/>
  <c r="R24" i="7"/>
  <c r="R31" i="7"/>
  <c r="R27" i="7"/>
  <c r="Q30" i="7"/>
  <c r="H30" i="7"/>
  <c r="A30" i="7"/>
  <c r="A19" i="7"/>
  <c r="A27" i="7"/>
  <c r="A31" i="7"/>
  <c r="A20" i="7"/>
  <c r="H23" i="7"/>
  <c r="Q23" i="7"/>
  <c r="A23" i="7"/>
  <c r="H25" i="7"/>
  <c r="Q25" i="7"/>
  <c r="A25" i="7"/>
  <c r="A32" i="7"/>
  <c r="V12" i="7" l="1"/>
  <c r="T9" i="7"/>
  <c r="R6" i="7"/>
  <c r="Z6" i="7" s="1"/>
  <c r="Y15" i="7"/>
  <c r="X15" i="7"/>
  <c r="T12" i="7"/>
  <c r="R9" i="7"/>
  <c r="Z9" i="7" s="1"/>
  <c r="W15" i="7"/>
  <c r="S12" i="7"/>
  <c r="S15" i="7"/>
  <c r="Y11" i="7"/>
  <c r="W8" i="7"/>
  <c r="R15" i="7"/>
  <c r="Z15" i="7" s="1"/>
  <c r="W14" i="7"/>
  <c r="T11" i="7"/>
  <c r="R8" i="7"/>
  <c r="Z8" i="7" s="1"/>
  <c r="R14" i="7"/>
  <c r="Z14" i="7" s="1"/>
  <c r="Y10" i="7"/>
  <c r="W7" i="7"/>
  <c r="S13" i="7"/>
  <c r="Y6" i="7"/>
  <c r="R13" i="7"/>
  <c r="Z13" i="7" s="1"/>
  <c r="X6" i="7"/>
  <c r="W12" i="7"/>
  <c r="U9" i="7"/>
  <c r="S6" i="7"/>
  <c r="T15" i="7"/>
  <c r="W10" i="7"/>
  <c r="U6" i="7"/>
  <c r="V10" i="7"/>
  <c r="T6" i="7"/>
  <c r="Y14" i="7"/>
  <c r="U10" i="7"/>
  <c r="X14" i="7"/>
  <c r="T10" i="7"/>
  <c r="V14" i="7"/>
  <c r="S10" i="7"/>
  <c r="U14" i="7"/>
  <c r="R10" i="7"/>
  <c r="Z10" i="7" s="1"/>
  <c r="T14" i="7"/>
  <c r="S14" i="7"/>
  <c r="Y9" i="7"/>
  <c r="X9" i="7"/>
  <c r="Y13" i="7"/>
  <c r="W9" i="7"/>
  <c r="X13" i="7"/>
  <c r="V9" i="7"/>
  <c r="V13" i="7"/>
  <c r="U13" i="7"/>
  <c r="Y8" i="7"/>
  <c r="T13" i="7"/>
  <c r="X8" i="7"/>
  <c r="V8" i="7"/>
  <c r="U8" i="7"/>
  <c r="Y12" i="7"/>
  <c r="T8" i="7"/>
  <c r="X12" i="7"/>
  <c r="S8" i="7"/>
  <c r="U12" i="7"/>
  <c r="R12" i="7"/>
  <c r="Z12" i="7" s="1"/>
  <c r="Y7" i="7"/>
  <c r="X7" i="7"/>
  <c r="X11" i="7"/>
  <c r="V7" i="7"/>
  <c r="W11" i="7"/>
  <c r="U7" i="7"/>
  <c r="V11" i="7"/>
  <c r="T7" i="7"/>
  <c r="U11" i="7"/>
  <c r="S7" i="7"/>
  <c r="S11" i="7"/>
  <c r="R11" i="7"/>
  <c r="Z11" i="7" s="1"/>
  <c r="U15" i="7"/>
  <c r="X10" i="7"/>
  <c r="S9" i="7"/>
  <c r="R7" i="7"/>
  <c r="Z7" i="7" s="1"/>
  <c r="W6" i="7"/>
  <c r="V6" i="7"/>
  <c r="V15" i="7"/>
  <c r="W13" i="7"/>
</calcChain>
</file>

<file path=xl/sharedStrings.xml><?xml version="1.0" encoding="utf-8"?>
<sst xmlns="http://schemas.openxmlformats.org/spreadsheetml/2006/main" count="344" uniqueCount="251">
  <si>
    <t>스킬 역할</t>
  </si>
  <si>
    <r>
      <rPr>
        <b/>
        <sz val="14"/>
        <color rgb="FFFFFFFF"/>
        <rFont val="돋움"/>
        <family val="3"/>
      </rPr>
      <t>통합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입력</t>
    </r>
    <r>
      <rPr>
        <b/>
        <sz val="14"/>
        <color rgb="FFFFFFFF"/>
        <rFont val="Carlito"/>
      </rPr>
      <t xml:space="preserve"> - </t>
    </r>
    <r>
      <rPr>
        <b/>
        <sz val="14"/>
        <color rgb="FFFFFFFF"/>
        <rFont val="돋움"/>
        <family val="3"/>
      </rPr>
      <t>실전</t>
    </r>
    <r>
      <rPr>
        <b/>
        <sz val="14"/>
        <color rgb="FFFFFFFF"/>
        <rFont val="Carlito"/>
      </rPr>
      <t>/</t>
    </r>
    <r>
      <rPr>
        <b/>
        <sz val="14"/>
        <color rgb="FFFFFFFF"/>
        <rFont val="돋움"/>
        <family val="3"/>
      </rPr>
      <t>허수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좌우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대칭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입력</t>
    </r>
  </si>
  <si>
    <r>
      <rPr>
        <sz val="11"/>
        <rFont val="돋움"/>
        <family val="3"/>
      </rPr>
      <t>노란색</t>
    </r>
    <r>
      <rPr>
        <sz val="11"/>
        <rFont val="Carlito"/>
      </rPr>
      <t xml:space="preserve"> </t>
    </r>
    <r>
      <rPr>
        <sz val="11"/>
        <rFont val="돋움"/>
        <family val="3"/>
      </rPr>
      <t>칸만</t>
    </r>
    <r>
      <rPr>
        <sz val="11"/>
        <rFont val="Carlito"/>
      </rPr>
      <t xml:space="preserve"> </t>
    </r>
    <r>
      <rPr>
        <sz val="11"/>
        <rFont val="돋움"/>
        <family val="3"/>
      </rPr>
      <t>수정하세요</t>
    </r>
    <r>
      <rPr>
        <sz val="11"/>
        <rFont val="Carlito"/>
      </rPr>
      <t xml:space="preserve">. </t>
    </r>
    <r>
      <rPr>
        <sz val="11"/>
        <rFont val="돋움"/>
        <family val="3"/>
      </rPr>
      <t>기본</t>
    </r>
    <r>
      <rPr>
        <sz val="11"/>
        <rFont val="Carlito"/>
      </rPr>
      <t xml:space="preserve"> </t>
    </r>
    <r>
      <rPr>
        <sz val="11"/>
        <rFont val="돋움"/>
        <family val="3"/>
      </rPr>
      <t>치적</t>
    </r>
    <r>
      <rPr>
        <sz val="11"/>
        <rFont val="Carlito"/>
      </rPr>
      <t>/</t>
    </r>
    <r>
      <rPr>
        <sz val="11"/>
        <rFont val="돋움"/>
        <family val="3"/>
      </rPr>
      <t>기본</t>
    </r>
    <r>
      <rPr>
        <sz val="11"/>
        <rFont val="Carlito"/>
      </rPr>
      <t xml:space="preserve"> </t>
    </r>
    <r>
      <rPr>
        <sz val="11"/>
        <rFont val="돋움"/>
        <family val="3"/>
      </rPr>
      <t>치피</t>
    </r>
    <r>
      <rPr>
        <sz val="11"/>
        <rFont val="Carlito"/>
      </rPr>
      <t>/</t>
    </r>
    <r>
      <rPr>
        <sz val="11"/>
        <rFont val="돋움"/>
        <family val="3"/>
      </rPr>
      <t>기본</t>
    </r>
    <r>
      <rPr>
        <sz val="11"/>
        <rFont val="Carlito"/>
      </rPr>
      <t xml:space="preserve"> </t>
    </r>
    <r>
      <rPr>
        <sz val="11"/>
        <rFont val="돋움"/>
        <family val="3"/>
      </rPr>
      <t>진피</t>
    </r>
    <r>
      <rPr>
        <sz val="11"/>
        <rFont val="Carlito"/>
      </rPr>
      <t>/5</t>
    </r>
    <r>
      <rPr>
        <sz val="11"/>
        <rFont val="돋움"/>
        <family val="3"/>
      </rPr>
      <t>티어</t>
    </r>
    <r>
      <rPr>
        <sz val="11"/>
        <rFont val="Carlito"/>
      </rPr>
      <t xml:space="preserve"> </t>
    </r>
    <r>
      <rPr>
        <sz val="11"/>
        <rFont val="돋움"/>
        <family val="3"/>
      </rPr>
      <t>노드는</t>
    </r>
    <r>
      <rPr>
        <sz val="11"/>
        <rFont val="Carlito"/>
      </rPr>
      <t xml:space="preserve"> </t>
    </r>
    <r>
      <rPr>
        <sz val="11"/>
        <rFont val="돋움"/>
        <family val="3"/>
      </rPr>
      <t>설정</t>
    </r>
    <r>
      <rPr>
        <sz val="11"/>
        <rFont val="Carlito"/>
      </rPr>
      <t xml:space="preserve"> </t>
    </r>
    <r>
      <rPr>
        <sz val="11"/>
        <rFont val="돋움"/>
        <family val="3"/>
      </rPr>
      <t>시트에서</t>
    </r>
    <r>
      <rPr>
        <sz val="11"/>
        <rFont val="Carlito"/>
      </rPr>
      <t xml:space="preserve"> </t>
    </r>
    <r>
      <rPr>
        <sz val="11"/>
        <rFont val="돋움"/>
        <family val="3"/>
      </rPr>
      <t>한</t>
    </r>
    <r>
      <rPr>
        <sz val="11"/>
        <rFont val="Carlito"/>
      </rPr>
      <t xml:space="preserve"> </t>
    </r>
    <r>
      <rPr>
        <sz val="11"/>
        <rFont val="돋움"/>
        <family val="3"/>
      </rPr>
      <t>번만</t>
    </r>
    <r>
      <rPr>
        <sz val="11"/>
        <rFont val="Carlito"/>
      </rPr>
      <t xml:space="preserve"> </t>
    </r>
    <r>
      <rPr>
        <sz val="11"/>
        <rFont val="돋움"/>
        <family val="3"/>
      </rPr>
      <t>입력합니다</t>
    </r>
    <r>
      <rPr>
        <sz val="11"/>
        <rFont val="Carlito"/>
      </rPr>
      <t xml:space="preserve">. </t>
    </r>
    <r>
      <rPr>
        <sz val="11"/>
        <rFont val="돋움"/>
        <family val="3"/>
      </rPr>
      <t>실전</t>
    </r>
    <r>
      <rPr>
        <sz val="11"/>
        <rFont val="Carlito"/>
      </rPr>
      <t>/</t>
    </r>
    <r>
      <rPr>
        <sz val="11"/>
        <rFont val="돋움"/>
        <family val="3"/>
      </rPr>
      <t>허수</t>
    </r>
    <r>
      <rPr>
        <sz val="11"/>
        <rFont val="Carlito"/>
      </rPr>
      <t xml:space="preserve"> </t>
    </r>
    <r>
      <rPr>
        <sz val="11"/>
        <rFont val="돋움"/>
        <family val="3"/>
      </rPr>
      <t>전투시간은</t>
    </r>
    <r>
      <rPr>
        <sz val="11"/>
        <rFont val="Carlito"/>
      </rPr>
      <t xml:space="preserve"> </t>
    </r>
    <r>
      <rPr>
        <sz val="11"/>
        <rFont val="돋움"/>
        <family val="3"/>
      </rPr>
      <t>이</t>
    </r>
    <r>
      <rPr>
        <sz val="11"/>
        <rFont val="Carlito"/>
      </rPr>
      <t xml:space="preserve"> </t>
    </r>
    <r>
      <rPr>
        <sz val="11"/>
        <rFont val="돋움"/>
        <family val="3"/>
      </rPr>
      <t>시트의</t>
    </r>
    <r>
      <rPr>
        <sz val="11"/>
        <rFont val="Carlito"/>
      </rPr>
      <t xml:space="preserve"> L2/T2</t>
    </r>
    <r>
      <rPr>
        <sz val="11"/>
        <rFont val="돋움"/>
        <family val="3"/>
      </rPr>
      <t>에</t>
    </r>
    <r>
      <rPr>
        <sz val="11"/>
        <rFont val="Carlito"/>
      </rPr>
      <t xml:space="preserve"> </t>
    </r>
    <r>
      <rPr>
        <sz val="11"/>
        <rFont val="돋움"/>
        <family val="3"/>
      </rPr>
      <t>입력합니다</t>
    </r>
    <r>
      <rPr>
        <sz val="11"/>
        <rFont val="Carlito"/>
      </rPr>
      <t xml:space="preserve">. </t>
    </r>
    <r>
      <rPr>
        <sz val="11"/>
        <rFont val="돋움"/>
        <family val="3"/>
      </rPr>
      <t>예둔</t>
    </r>
    <r>
      <rPr>
        <sz val="11"/>
        <rFont val="Carlito"/>
      </rPr>
      <t xml:space="preserve"> </t>
    </r>
    <r>
      <rPr>
        <sz val="11"/>
        <rFont val="돋움"/>
        <family val="3"/>
      </rPr>
      <t>채용</t>
    </r>
    <r>
      <rPr>
        <sz val="11"/>
        <rFont val="Carlito"/>
      </rPr>
      <t xml:space="preserve"> </t>
    </r>
    <r>
      <rPr>
        <sz val="11"/>
        <rFont val="돋움"/>
        <family val="3"/>
      </rPr>
      <t>시</t>
    </r>
    <r>
      <rPr>
        <sz val="11"/>
        <rFont val="Carlito"/>
      </rPr>
      <t xml:space="preserve"> </t>
    </r>
    <r>
      <rPr>
        <sz val="11"/>
        <rFont val="돋움"/>
        <family val="3"/>
      </rPr>
      <t>설정</t>
    </r>
    <r>
      <rPr>
        <sz val="11"/>
        <rFont val="Carlito"/>
      </rPr>
      <t xml:space="preserve"> </t>
    </r>
    <r>
      <rPr>
        <sz val="11"/>
        <rFont val="돋움"/>
        <family val="3"/>
      </rPr>
      <t>시트에서</t>
    </r>
    <r>
      <rPr>
        <sz val="11"/>
        <rFont val="Carlito"/>
      </rPr>
      <t xml:space="preserve"> </t>
    </r>
    <r>
      <rPr>
        <sz val="11"/>
        <rFont val="돋움"/>
        <family val="3"/>
      </rPr>
      <t>채용</t>
    </r>
    <r>
      <rPr>
        <sz val="11"/>
        <rFont val="Carlito"/>
      </rPr>
      <t xml:space="preserve"> </t>
    </r>
    <r>
      <rPr>
        <sz val="11"/>
        <rFont val="돋움"/>
        <family val="3"/>
      </rPr>
      <t>여부와</t>
    </r>
    <r>
      <rPr>
        <sz val="11"/>
        <rFont val="Carlito"/>
      </rPr>
      <t xml:space="preserve"> </t>
    </r>
    <r>
      <rPr>
        <sz val="11"/>
        <rFont val="돋움"/>
        <family val="3"/>
      </rPr>
      <t>치피</t>
    </r>
    <r>
      <rPr>
        <sz val="11"/>
        <rFont val="Carlito"/>
      </rPr>
      <t xml:space="preserve"> </t>
    </r>
    <r>
      <rPr>
        <sz val="11"/>
        <rFont val="돋움"/>
        <family val="3"/>
      </rPr>
      <t>증가량을</t>
    </r>
    <r>
      <rPr>
        <sz val="11"/>
        <rFont val="Carlito"/>
      </rPr>
      <t xml:space="preserve"> </t>
    </r>
    <r>
      <rPr>
        <sz val="11"/>
        <rFont val="돋움"/>
        <family val="3"/>
      </rPr>
      <t>입력합니다</t>
    </r>
    <r>
      <rPr>
        <sz val="11"/>
        <rFont val="Carlito"/>
      </rPr>
      <t xml:space="preserve">. </t>
    </r>
    <r>
      <rPr>
        <sz val="11"/>
        <rFont val="돋움"/>
        <family val="3"/>
      </rPr>
      <t>스킬</t>
    </r>
    <r>
      <rPr>
        <sz val="11"/>
        <rFont val="Carlito"/>
      </rPr>
      <t xml:space="preserve"> </t>
    </r>
    <r>
      <rPr>
        <sz val="11"/>
        <rFont val="돋움"/>
        <family val="3"/>
      </rPr>
      <t>추가</t>
    </r>
    <r>
      <rPr>
        <sz val="11"/>
        <rFont val="Carlito"/>
      </rPr>
      <t xml:space="preserve"> </t>
    </r>
    <r>
      <rPr>
        <sz val="11"/>
        <rFont val="돋움"/>
        <family val="3"/>
      </rPr>
      <t>치피는</t>
    </r>
    <r>
      <rPr>
        <sz val="11"/>
        <rFont val="Carlito"/>
      </rPr>
      <t xml:space="preserve"> E</t>
    </r>
    <r>
      <rPr>
        <sz val="11"/>
        <rFont val="돋움"/>
        <family val="3"/>
      </rPr>
      <t>열에</t>
    </r>
    <r>
      <rPr>
        <sz val="11"/>
        <rFont val="Carlito"/>
      </rPr>
      <t xml:space="preserve"> </t>
    </r>
    <r>
      <rPr>
        <sz val="11"/>
        <rFont val="돋움"/>
        <family val="3"/>
      </rPr>
      <t>스킬별로</t>
    </r>
    <r>
      <rPr>
        <sz val="11"/>
        <rFont val="Carlito"/>
      </rPr>
      <t xml:space="preserve"> </t>
    </r>
    <r>
      <rPr>
        <sz val="11"/>
        <rFont val="돋움"/>
        <family val="3"/>
      </rPr>
      <t>입력합니다</t>
    </r>
    <r>
      <rPr>
        <sz val="11"/>
        <rFont val="Carlito"/>
      </rPr>
      <t xml:space="preserve">. </t>
    </r>
    <r>
      <rPr>
        <sz val="11"/>
        <rFont val="돋움"/>
        <family val="3"/>
      </rPr>
      <t>예</t>
    </r>
    <r>
      <rPr>
        <sz val="11"/>
        <rFont val="Carlito"/>
      </rPr>
      <t xml:space="preserve">: 100% </t>
    </r>
    <r>
      <rPr>
        <sz val="11"/>
        <rFont val="돋움"/>
        <family val="3"/>
      </rPr>
      <t>추가</t>
    </r>
    <r>
      <rPr>
        <sz val="11"/>
        <rFont val="Carlito"/>
      </rPr>
      <t xml:space="preserve"> </t>
    </r>
    <r>
      <rPr>
        <sz val="11"/>
        <rFont val="돋움"/>
        <family val="3"/>
      </rPr>
      <t>치피는</t>
    </r>
    <r>
      <rPr>
        <sz val="11"/>
        <rFont val="Carlito"/>
      </rPr>
      <t xml:space="preserve"> 1.0, </t>
    </r>
    <r>
      <rPr>
        <sz val="11"/>
        <rFont val="돋움"/>
        <family val="3"/>
      </rPr>
      <t>없으면</t>
    </r>
    <r>
      <rPr>
        <sz val="11"/>
        <rFont val="Carlito"/>
      </rPr>
      <t xml:space="preserve"> 0</t>
    </r>
    <r>
      <rPr>
        <sz val="11"/>
        <rFont val="돋움"/>
        <family val="3"/>
      </rPr>
      <t>입니다</t>
    </r>
    <r>
      <rPr>
        <sz val="11"/>
        <rFont val="Carlito"/>
      </rPr>
      <t>. I</t>
    </r>
    <r>
      <rPr>
        <sz val="11"/>
        <rFont val="돋움"/>
        <family val="3"/>
      </rPr>
      <t>열에서</t>
    </r>
    <r>
      <rPr>
        <sz val="11"/>
        <rFont val="Carlito"/>
      </rPr>
      <t xml:space="preserve"> </t>
    </r>
    <r>
      <rPr>
        <sz val="11"/>
        <rFont val="돋움"/>
        <family val="3"/>
      </rPr>
      <t>스킬</t>
    </r>
    <r>
      <rPr>
        <sz val="11"/>
        <rFont val="Carlito"/>
      </rPr>
      <t xml:space="preserve"> </t>
    </r>
    <r>
      <rPr>
        <sz val="11"/>
        <rFont val="돋움"/>
        <family val="3"/>
      </rPr>
      <t>역할을</t>
    </r>
    <r>
      <rPr>
        <sz val="11"/>
        <rFont val="Carlito"/>
      </rPr>
      <t xml:space="preserve"> </t>
    </r>
    <r>
      <rPr>
        <sz val="11"/>
        <rFont val="돋움"/>
        <family val="3"/>
      </rPr>
      <t>선택하면</t>
    </r>
    <r>
      <rPr>
        <sz val="11"/>
        <rFont val="Carlito"/>
      </rPr>
      <t xml:space="preserve"> </t>
    </r>
    <r>
      <rPr>
        <sz val="11"/>
        <rFont val="돋움"/>
        <family val="3"/>
      </rPr>
      <t>아덴</t>
    </r>
    <r>
      <rPr>
        <sz val="11"/>
        <rFont val="Carlito"/>
      </rPr>
      <t xml:space="preserve"> </t>
    </r>
    <r>
      <rPr>
        <sz val="11"/>
        <rFont val="돋움"/>
        <family val="3"/>
      </rPr>
      <t>캐릭터도</t>
    </r>
    <r>
      <rPr>
        <sz val="11"/>
        <rFont val="Carlito"/>
      </rPr>
      <t xml:space="preserve"> </t>
    </r>
    <r>
      <rPr>
        <sz val="11"/>
        <rFont val="돋움"/>
        <family val="3"/>
      </rPr>
      <t>보기</t>
    </r>
    <r>
      <rPr>
        <sz val="11"/>
        <rFont val="Carlito"/>
      </rPr>
      <t xml:space="preserve"> </t>
    </r>
    <r>
      <rPr>
        <sz val="11"/>
        <rFont val="돋움"/>
        <family val="3"/>
      </rPr>
      <t>쉽게</t>
    </r>
    <r>
      <rPr>
        <sz val="11"/>
        <rFont val="Carlito"/>
      </rPr>
      <t xml:space="preserve"> </t>
    </r>
    <r>
      <rPr>
        <sz val="11"/>
        <rFont val="돋움"/>
        <family val="3"/>
      </rPr>
      <t>분류할</t>
    </r>
    <r>
      <rPr>
        <sz val="11"/>
        <rFont val="Carlito"/>
      </rPr>
      <t xml:space="preserve"> </t>
    </r>
    <r>
      <rPr>
        <sz val="11"/>
        <rFont val="돋움"/>
        <family val="3"/>
      </rPr>
      <t>수</t>
    </r>
    <r>
      <rPr>
        <sz val="11"/>
        <rFont val="Carlito"/>
      </rPr>
      <t xml:space="preserve"> </t>
    </r>
    <r>
      <rPr>
        <sz val="11"/>
        <rFont val="돋움"/>
        <family val="3"/>
      </rPr>
      <t>있습니다</t>
    </r>
    <r>
      <rPr>
        <sz val="11"/>
        <rFont val="Carlito"/>
      </rPr>
      <t xml:space="preserve">. </t>
    </r>
    <r>
      <rPr>
        <sz val="11"/>
        <rFont val="돋움"/>
        <family val="3"/>
      </rPr>
      <t>허수</t>
    </r>
    <r>
      <rPr>
        <sz val="11"/>
        <rFont val="Carlito"/>
      </rPr>
      <t xml:space="preserve"> </t>
    </r>
    <r>
      <rPr>
        <sz val="11"/>
        <rFont val="돋움"/>
        <family val="3"/>
      </rPr>
      <t>포지션</t>
    </r>
    <r>
      <rPr>
        <sz val="11"/>
        <rFont val="Carlito"/>
      </rPr>
      <t xml:space="preserve"> </t>
    </r>
    <r>
      <rPr>
        <sz val="11"/>
        <rFont val="돋움"/>
        <family val="3"/>
      </rPr>
      <t>적중률은</t>
    </r>
    <r>
      <rPr>
        <sz val="11"/>
        <rFont val="Carlito"/>
      </rPr>
      <t xml:space="preserve"> 100% </t>
    </r>
    <r>
      <rPr>
        <sz val="11"/>
        <rFont val="돋움"/>
        <family val="3"/>
      </rPr>
      <t>자동</t>
    </r>
    <r>
      <rPr>
        <sz val="11"/>
        <rFont val="Carlito"/>
      </rPr>
      <t xml:space="preserve"> </t>
    </r>
    <r>
      <rPr>
        <sz val="11"/>
        <rFont val="돋움"/>
        <family val="3"/>
      </rPr>
      <t>적용됩니다</t>
    </r>
    <r>
      <rPr>
        <sz val="11"/>
        <rFont val="Carlito"/>
      </rPr>
      <t>.</t>
    </r>
  </si>
  <si>
    <t>실전 전투시간(초)</t>
  </si>
  <si>
    <t>허수 전투시간(초)</t>
  </si>
  <si>
    <t>공통/스킬 설정</t>
  </si>
  <si>
    <t>실전 전투분석 입력</t>
  </si>
  <si>
    <t>허수/수련장 전투분석 입력</t>
  </si>
  <si>
    <t>스킬명</t>
  </si>
  <si>
    <t>공격타입</t>
  </si>
  <si>
    <t>허수기준 치적
(자동)</t>
  </si>
  <si>
    <t>예둔 제외 기본 치피
(자동)</t>
  </si>
  <si>
    <t>스킬 추가 치피
(입력: 100% = 1.0)</t>
  </si>
  <si>
    <t>총 치피 배율
(자동 = 기본+스킬추가+예둔)</t>
  </si>
  <si>
    <t>기본 진피
(자동)</t>
  </si>
  <si>
    <t>5티어 노드
(자동)</t>
  </si>
  <si>
    <t>스킬 역할
(입력)</t>
  </si>
  <si>
    <t>메모</t>
  </si>
  <si>
    <t>피해량(억)</t>
  </si>
  <si>
    <t>피해지분</t>
  </si>
  <si>
    <t>사용횟수</t>
  </si>
  <si>
    <t>쿨타임비율</t>
  </si>
  <si>
    <t>전분 치명율</t>
  </si>
  <si>
    <t>백/헤드 적중률</t>
  </si>
  <si>
    <t>허리케인 소드</t>
  </si>
  <si>
    <t>백어택</t>
  </si>
  <si>
    <t>주딜기</t>
  </si>
  <si>
    <t>구원의 종탑 3단계 2관문</t>
  </si>
  <si>
    <t>수련장</t>
  </si>
  <si>
    <t>플레임 블레이드</t>
  </si>
  <si>
    <t>브루탈 임팩트</t>
  </si>
  <si>
    <t>길로틴</t>
  </si>
  <si>
    <t>볼케이노 이럽션</t>
  </si>
  <si>
    <t>파이널 블로</t>
  </si>
  <si>
    <t>페이탈 소드</t>
  </si>
  <si>
    <t>스킬룬 : 출혈</t>
  </si>
  <si>
    <t>없음</t>
  </si>
  <si>
    <t>룬/기타</t>
  </si>
  <si>
    <t>스킬룬 : 중독</t>
  </si>
  <si>
    <t>와일드 스톰프</t>
  </si>
  <si>
    <t>보조딜</t>
  </si>
  <si>
    <t>라그나 브레이크</t>
  </si>
  <si>
    <t>기타</t>
  </si>
  <si>
    <t>와일드 러시</t>
  </si>
  <si>
    <t>이동/카운터</t>
  </si>
  <si>
    <t>맥스웰 맥시마</t>
  </si>
  <si>
    <t>기본 공격</t>
  </si>
  <si>
    <t>공통 설정</t>
  </si>
  <si>
    <t>항목</t>
  </si>
  <si>
    <t>값</t>
  </si>
  <si>
    <t>설명</t>
  </si>
  <si>
    <t>수정 여부</t>
  </si>
  <si>
    <t>5티어 노드</t>
  </si>
  <si>
    <t>자동 진피</t>
  </si>
  <si>
    <t>백어택 피해 증가</t>
  </si>
  <si>
    <t>백어택 성공 시 피해량 증가</t>
  </si>
  <si>
    <t>가능</t>
  </si>
  <si>
    <t>백어택 치적 증가</t>
  </si>
  <si>
    <t>백어택 성공 시 치명타 적중률 증가</t>
  </si>
  <si>
    <t>뭉툭한가시</t>
  </si>
  <si>
    <t>치적 기반 자동</t>
  </si>
  <si>
    <t>헤드어택 피해 증가</t>
  </si>
  <si>
    <t>헤드어택 성공 시 피해량 증가. 무력화 10% 제외</t>
  </si>
  <si>
    <t>음속 돌파 24%</t>
  </si>
  <si>
    <t>헤드어택 치적 증가</t>
  </si>
  <si>
    <t>기본 0%. 필요 시 수정</t>
  </si>
  <si>
    <t>인파이팅 18%</t>
  </si>
  <si>
    <t>나의 기본 치적</t>
  </si>
  <si>
    <t>포지션 보너스 제외 기본 치명타 적중률</t>
  </si>
  <si>
    <t>입력</t>
  </si>
  <si>
    <t>입식 타격가 21%</t>
  </si>
  <si>
    <t>기본 치피 배율</t>
  </si>
  <si>
    <t>캐릭터 공통 치명타 피해 배율. 예: 260% = 2.6</t>
  </si>
  <si>
    <t>마나용광로 24%</t>
  </si>
  <si>
    <t>기본 진화형 피해</t>
  </si>
  <si>
    <t>5티어 노드 제외 기본 진피. 모든 스킬에 동일 적용</t>
  </si>
  <si>
    <t>기본 5티어 노드</t>
  </si>
  <si>
    <t>모든 스킬에 동일 적용되는 5티어 노드</t>
  </si>
  <si>
    <t>기본 5티어 진피</t>
  </si>
  <si>
    <t>고정 진피형 노드 자동값. 뭉가 진피는 계산표에서 치적별 계산</t>
  </si>
  <si>
    <t>자동</t>
  </si>
  <si>
    <t>뭉가 고정 치적</t>
  </si>
  <si>
    <t>뭉툭한가시 실제 치명타 발생률</t>
  </si>
  <si>
    <t>고정 권장</t>
  </si>
  <si>
    <t>뭉가 최대 진피</t>
  </si>
  <si>
    <t>뭉가가 줄 수 있는 최대 진화형 피해</t>
  </si>
  <si>
    <t>뭉가 최대 진피 달성 치적</t>
  </si>
  <si>
    <t>고정 전 치적 120%일 때 최대 진피</t>
  </si>
  <si>
    <t>뭉가 진피 시작 치적</t>
  </si>
  <si>
    <t>고정 전 치적 80%부터 진피 환산</t>
  </si>
  <si>
    <t>피해 단위</t>
  </si>
  <si>
    <t>억</t>
  </si>
  <si>
    <t>전투분석기 피해량 입력 단위</t>
  </si>
  <si>
    <t>개선 목표 상승률</t>
  </si>
  <si>
    <t>개선분석 시트의 목표 상승 필요 피해 계산에 사용. 예: 5% = 0.05</t>
  </si>
  <si>
    <t>예리한 둔기 설정</t>
  </si>
  <si>
    <t>예리한 둔기 채용 여부</t>
  </si>
  <si>
    <t>미사용</t>
  </si>
  <si>
    <t>예둔 적용 여부. 채용 시 기본 치피에서 예둔 치피를 분리하고 평균 패널티를 반영</t>
  </si>
  <si>
    <t>예둔 치피 증가량</t>
  </si>
  <si>
    <t>예: 치피 +52% = 0.52. 유각/전각/돌 효과에 맞게 수정</t>
  </si>
  <si>
    <t>예둔 패널티 확률</t>
  </si>
  <si>
    <t>예둔 패널티 평균값 계산용. 필요 시 수정</t>
  </si>
  <si>
    <t>예둔 패널티 감소량</t>
  </si>
  <si>
    <t>예둔 평균 패널티 배율</t>
  </si>
  <si>
    <t>채용 시 1 - 확률 × 감소량. 미사용 시 1</t>
  </si>
  <si>
    <t>예둔 제외 기본 치피</t>
  </si>
  <si>
    <t>기본 치피 배율에서 예둔 치피 증가량을 뺀 표시용 값</t>
  </si>
  <si>
    <t>주의</t>
  </si>
  <si>
    <t>기본 치피 배율은 현재 캐릭터 최종 치피(예둔 포함값) 기준으로 입력</t>
  </si>
  <si>
    <t>예둔 채용 시 총 치피에는 예둔 치피가 다시 합산되고, 평균 패널티만 추가 반영</t>
  </si>
  <si>
    <t>안내</t>
  </si>
  <si>
    <t>계산표 - 자동 계산 v15</t>
  </si>
  <si>
    <t>허수/실전 양쪽에 피해량이 있는 스킬만 비교에 포함합니다. 치피는 통합_입력 F열의 총 치피 배율(예둔 제외 기본 치피 + 스킬 추가 치피 + 예둔 치피)을 기준으로 계산합니다. 예둔 채용 시 설정 시트의 예둔 평균 패널티 배율을 최종 기대/관측 배율에 반영합니다. 실전/허수 전투시간은 통합_입력 L2/T2에서 가져오며, 허수 포지션은 100%로 자동 고정됩니다.</t>
  </si>
  <si>
    <t>기본치피</t>
  </si>
  <si>
    <t>스킬추가치피</t>
  </si>
  <si>
    <t>총치피</t>
  </si>
  <si>
    <t>기본진피</t>
  </si>
  <si>
    <t>5T노드</t>
  </si>
  <si>
    <t>실전피해</t>
  </si>
  <si>
    <t>실전횟수</t>
  </si>
  <si>
    <t>실전쿨</t>
  </si>
  <si>
    <t>실전전분치명</t>
  </si>
  <si>
    <t>실전포지션</t>
  </si>
  <si>
    <t>허수피해</t>
  </si>
  <si>
    <t>허수횟수</t>
  </si>
  <si>
    <t>허수쿨</t>
  </si>
  <si>
    <t>허수전분치명</t>
  </si>
  <si>
    <t>허수포지션
(100% 자동)</t>
  </si>
  <si>
    <t>실전 진피기준치적</t>
  </si>
  <si>
    <t>허수 진피기준치적</t>
  </si>
  <si>
    <t>실전 기대치명</t>
  </si>
  <si>
    <t>허수 기대치명</t>
  </si>
  <si>
    <t>실전 5T진피</t>
  </si>
  <si>
    <t>허수 5T진피</t>
  </si>
  <si>
    <t>실전진피배율</t>
  </si>
  <si>
    <t>허수진피배율</t>
  </si>
  <si>
    <t>실전포지션피해</t>
  </si>
  <si>
    <t>허수포지션피해</t>
  </si>
  <si>
    <t>실전 전분치명배율</t>
  </si>
  <si>
    <t>실전 기대치명배율</t>
  </si>
  <si>
    <t>허수 전분치명배율</t>
  </si>
  <si>
    <t>허수 기대치명배율</t>
  </si>
  <si>
    <t>실전 관측배율</t>
  </si>
  <si>
    <t>실전 기대배율</t>
  </si>
  <si>
    <t>허수 관측배율</t>
  </si>
  <si>
    <t>허수 기대배율</t>
  </si>
  <si>
    <t>실전 1회비치명</t>
  </si>
  <si>
    <t>허수 1회비치명</t>
  </si>
  <si>
    <t>실전 평균피해</t>
  </si>
  <si>
    <t>허수 평균피해</t>
  </si>
  <si>
    <t>허수페이스횟수</t>
  </si>
  <si>
    <t>허수페이스 기대피해</t>
  </si>
  <si>
    <t>실전 관측/평균</t>
  </si>
  <si>
    <t>허수 관측/평균</t>
  </si>
  <si>
    <t>실전평균/허수페이스</t>
  </si>
  <si>
    <t>실전관측/허수페이스</t>
  </si>
  <si>
    <t>쿨소화율</t>
  </si>
  <si>
    <t>정규화사용횟수율</t>
  </si>
  <si>
    <t>스킬역할</t>
  </si>
  <si>
    <t>비교포함</t>
  </si>
  <si>
    <t>제외사유</t>
  </si>
  <si>
    <r>
      <rPr>
        <b/>
        <sz val="14"/>
        <color rgb="FFFFFFFF"/>
        <rFont val="돋움"/>
        <family val="3"/>
      </rPr>
      <t>이항분포</t>
    </r>
    <r>
      <rPr>
        <b/>
        <sz val="14"/>
        <color rgb="FFFFFFFF"/>
        <rFont val="Carlito"/>
      </rPr>
      <t xml:space="preserve"> - </t>
    </r>
    <r>
      <rPr>
        <b/>
        <sz val="14"/>
        <color rgb="FFFFFFFF"/>
        <rFont val="돋움"/>
        <family val="3"/>
      </rPr>
      <t>선택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스킬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치명타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운</t>
    </r>
    <r>
      <rPr>
        <b/>
        <sz val="14"/>
        <color rgb="FFFFFFFF"/>
        <rFont val="Carlito"/>
      </rPr>
      <t>/</t>
    </r>
    <r>
      <rPr>
        <b/>
        <sz val="14"/>
        <color rgb="FFFFFFFF"/>
        <rFont val="돋움"/>
        <family val="3"/>
      </rPr>
      <t>평균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피해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확인</t>
    </r>
  </si>
  <si>
    <t>스킬 선택</t>
  </si>
  <si>
    <t>선택행</t>
  </si>
  <si>
    <t>선택 스킬 요약</t>
  </si>
  <si>
    <t>치명횟수 k</t>
  </si>
  <si>
    <t>실전 확률</t>
  </si>
  <si>
    <t>실전 피해(k)</t>
  </si>
  <si>
    <t>실전 기여값</t>
  </si>
  <si>
    <t>허수 확률</t>
  </si>
  <si>
    <t>허수 피해(k)</t>
  </si>
  <si>
    <t>허수 기여값</t>
  </si>
  <si>
    <t>비고</t>
  </si>
  <si>
    <t>실전 전분치명</t>
  </si>
  <si>
    <t>허수 전분치명</t>
  </si>
  <si>
    <t>비교 상태</t>
  </si>
  <si>
    <r>
      <rPr>
        <b/>
        <sz val="14"/>
        <color rgb="FFFFFFFF"/>
        <rFont val="돋움"/>
        <family val="3"/>
      </rPr>
      <t>결과</t>
    </r>
    <r>
      <rPr>
        <b/>
        <sz val="14"/>
        <color rgb="FFFFFFFF"/>
        <rFont val="Carlito"/>
      </rPr>
      <t xml:space="preserve"> - </t>
    </r>
    <r>
      <rPr>
        <b/>
        <sz val="14"/>
        <color rgb="FFFFFFFF"/>
        <rFont val="돋움"/>
        <family val="3"/>
      </rPr>
      <t>허수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대비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실전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효율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요약</t>
    </r>
  </si>
  <si>
    <t>핵심 지표</t>
  </si>
  <si>
    <t>해석</t>
  </si>
  <si>
    <t>실전 관측 피해</t>
  </si>
  <si>
    <t>전투분석기 실전 피해 합계</t>
  </si>
  <si>
    <t>실전 평균 피해</t>
  </si>
  <si>
    <t>치명운을 제거한 실전 평균 피해</t>
  </si>
  <si>
    <t>허수 관측 피해</t>
  </si>
  <si>
    <t>전투분석기 허수 피해 합계</t>
  </si>
  <si>
    <t>허수 평균 피해</t>
  </si>
  <si>
    <t>치명운을 제거한 허수 평균 피해</t>
  </si>
  <si>
    <t>허수페이스 기대 피해</t>
  </si>
  <si>
    <t>실전 시간 동안 허수처럼 굴렸을 때</t>
  </si>
  <si>
    <t>실전 관측 / 실전 평균</t>
  </si>
  <si>
    <t>실전 치명운 영향</t>
  </si>
  <si>
    <t>허수 관측 / 허수 평균</t>
  </si>
  <si>
    <t>허수 치명운 영향</t>
  </si>
  <si>
    <t>실전 평균 / 허수페이스</t>
  </si>
  <si>
    <t>핵심 수행률</t>
  </si>
  <si>
    <t>실전 관측 / 허수페이스</t>
  </si>
  <si>
    <t>관측값 기준 수행률</t>
  </si>
  <si>
    <t>가중 쿨소화율</t>
  </si>
  <si>
    <t>피해량 가중 쿨타임 비율</t>
  </si>
  <si>
    <t>가중 사용횟수율</t>
  </si>
  <si>
    <t>피해량 가중 CPM/사용횟수율</t>
  </si>
  <si>
    <t>관측/평균 - 1</t>
  </si>
  <si>
    <t>실전 관측</t>
  </si>
  <si>
    <t>실전 평균</t>
  </si>
  <si>
    <t>허수페이스</t>
  </si>
  <si>
    <t>사용횟수율</t>
  </si>
  <si>
    <r>
      <rPr>
        <b/>
        <sz val="14"/>
        <color rgb="FFFFFFFF"/>
        <rFont val="돋움"/>
        <family val="3"/>
      </rPr>
      <t>개선분석</t>
    </r>
    <r>
      <rPr>
        <b/>
        <sz val="14"/>
        <color rgb="FFFFFFFF"/>
        <rFont val="Carlito"/>
      </rPr>
      <t xml:space="preserve"> - </t>
    </r>
    <r>
      <rPr>
        <b/>
        <sz val="14"/>
        <color rgb="FFFFFFFF"/>
        <rFont val="돋움"/>
        <family val="3"/>
      </rPr>
      <t>목표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상승률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기준으로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어디를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끌어올릴지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보기</t>
    </r>
  </si>
  <si>
    <t>상위 후보는 손실피해 기준으로 정렬합니다. 목표 상승률을 바꾸면 목표 판정/필요 개선률이 바뀝니다. 치피 계산은 통합_입력 F열의 총 치피 배율(예둔 제외 기본+스킬추가+예둔)을 사용하며, 예둔 채용 시 평균 패널티 배율을 반영합니다. 스킬 역할은 통합_입력 I열에서 선택합니다.</t>
  </si>
  <si>
    <t>상위 개선 후보</t>
  </si>
  <si>
    <t>목표 기준</t>
  </si>
  <si>
    <t>치명운 제거 후 실전 수행률</t>
  </si>
  <si>
    <t>핵심 퍼센트</t>
  </si>
  <si>
    <t>순위</t>
  </si>
  <si>
    <t>기존 피해량</t>
  </si>
  <si>
    <t>상승 여지</t>
  </si>
  <si>
    <t>현재 대비 상승량</t>
  </si>
  <si>
    <t>목표 달성 필요 개선률</t>
  </si>
  <si>
    <t>주요 개선 포인트</t>
  </si>
  <si>
    <t>목표 판정</t>
  </si>
  <si>
    <t>총 치피</t>
  </si>
  <si>
    <t>현재 실전 조건 평균 피해</t>
  </si>
  <si>
    <t>억 단위</t>
  </si>
  <si>
    <t>총 상승 여지</t>
  </si>
  <si>
    <t>허수페이스 - 실전 평균</t>
  </si>
  <si>
    <t>스킬별 손실 합계와 유사</t>
  </si>
  <si>
    <t>현재 대비 상승 여지</t>
  </si>
  <si>
    <t>총 상승 여지 / 실전 평균</t>
  </si>
  <si>
    <t>이론상 상한</t>
  </si>
  <si>
    <t>목표 상승률</t>
  </si>
  <si>
    <t>설정!B21 값을 가져옴</t>
  </si>
  <si>
    <t>목표 입력</t>
  </si>
  <si>
    <t>목표 상승에 필요한 피해</t>
  </si>
  <si>
    <t>실전 평균 피해 × 목표 상승률</t>
  </si>
  <si>
    <t>목표 확인용</t>
  </si>
  <si>
    <t>목표 가능 여부</t>
  </si>
  <si>
    <t>목표가 허수페이스 한계 안인지 확인</t>
  </si>
  <si>
    <t>목표가 너무 높으면 초과</t>
  </si>
  <si>
    <t>치피 입력 구조</t>
  </si>
  <si>
    <t>계산표/이항분포/개선분석은 모두 총 치피 배율 기준</t>
  </si>
  <si>
    <t>통합_입력 E:F열 확인</t>
  </si>
  <si>
    <t>우선순위</t>
  </si>
  <si>
    <t>허수페이스 기대</t>
  </si>
  <si>
    <t>손실피해</t>
  </si>
  <si>
    <t>현재 대비 상승여지</t>
  </si>
  <si>
    <t>수행률</t>
  </si>
  <si>
    <t>실전 포지션률</t>
  </si>
  <si>
    <t>포지션/치적 손실률</t>
  </si>
  <si>
    <t>치명운</t>
  </si>
  <si>
    <t>개선포인트</t>
  </si>
  <si>
    <t>추천 액션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</si>
</sst>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rlito"/>
    </font>
    <font>
      <b/>
      <sz val="14"/>
      <color rgb="FFFFFFFF"/>
      <name val="Carlito"/>
    </font>
    <font>
      <b/>
      <sz val="11"/>
      <name val="Carlito"/>
    </font>
    <font>
      <b/>
      <sz val="11"/>
      <color rgb="FFFFFFFF"/>
      <name val="Carlito"/>
    </font>
    <font>
      <sz val="11"/>
      <name val="Carlito"/>
    </font>
    <font>
      <sz val="8"/>
      <name val="돋움"/>
      <family val="3"/>
      <charset val="129"/>
    </font>
    <font>
      <b/>
      <sz val="14"/>
      <color rgb="FFFFFFFF"/>
      <name val="Carlito"/>
    </font>
    <font>
      <b/>
      <sz val="11"/>
      <color rgb="FF000000"/>
      <name val="Carlito"/>
    </font>
    <font>
      <sz val="11"/>
      <name val="Carlito"/>
    </font>
    <font>
      <b/>
      <sz val="14"/>
      <color rgb="FFFFFFFF"/>
      <name val="돋움"/>
      <family val="3"/>
    </font>
    <font>
      <sz val="11"/>
      <name val="돋움"/>
      <family val="3"/>
    </font>
  </fonts>
  <fills count="2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DDEBF7"/>
      </patternFill>
    </fill>
    <fill>
      <patternFill patternType="solid">
        <fgColor rgb="FFE2F0D9"/>
      </patternFill>
    </fill>
    <fill>
      <patternFill patternType="solid">
        <fgColor rgb="FFEAF2F8"/>
      </patternFill>
    </fill>
    <fill>
      <patternFill patternType="solid">
        <fgColor rgb="FF0F766E"/>
      </patternFill>
    </fill>
    <fill>
      <patternFill patternType="solid">
        <fgColor rgb="FF1F4E79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DDEBF7"/>
      </patternFill>
    </fill>
    <fill>
      <patternFill patternType="solid">
        <fgColor rgb="FF8064A2"/>
      </patternFill>
    </fill>
    <fill>
      <patternFill patternType="solid">
        <fgColor rgb="FFF2F2F2"/>
      </patternFill>
    </fill>
    <fill>
      <patternFill patternType="solid">
        <fgColor rgb="FF7030A0"/>
      </patternFill>
    </fill>
    <fill>
      <patternFill patternType="solid">
        <fgColor rgb="FFEADCF8"/>
      </patternFill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theme="3" tint="0.89996032593768116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0" borderId="0" xfId="1" applyFont="1" applyAlignment="1">
      <alignment wrapText="1"/>
    </xf>
    <xf numFmtId="0" fontId="0" fillId="0" borderId="0" xfId="1" applyFont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0" fillId="3" borderId="0" xfId="1" applyFont="1" applyFill="1" applyAlignment="1">
      <alignment horizontal="center" vertical="center"/>
    </xf>
    <xf numFmtId="0" fontId="0" fillId="4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10" fontId="0" fillId="3" borderId="0" xfId="1" applyNumberFormat="1" applyFont="1" applyFill="1" applyAlignment="1">
      <alignment horizontal="center" vertical="center"/>
    </xf>
    <xf numFmtId="2" fontId="0" fillId="3" borderId="0" xfId="1" applyNumberFormat="1" applyFont="1" applyFill="1" applyAlignment="1">
      <alignment horizontal="center" vertical="center"/>
    </xf>
    <xf numFmtId="10" fontId="0" fillId="4" borderId="0" xfId="1" applyNumberFormat="1" applyFont="1" applyFill="1" applyAlignment="1">
      <alignment horizontal="center" vertical="center"/>
    </xf>
    <xf numFmtId="2" fontId="0" fillId="4" borderId="0" xfId="1" applyNumberFormat="1" applyFont="1" applyFill="1" applyAlignment="1">
      <alignment horizontal="center" vertical="center"/>
    </xf>
    <xf numFmtId="4" fontId="0" fillId="3" borderId="0" xfId="1" applyNumberFormat="1" applyFont="1" applyFill="1" applyAlignment="1">
      <alignment horizontal="center" vertical="center"/>
    </xf>
    <xf numFmtId="10" fontId="0" fillId="0" borderId="0" xfId="1" applyNumberFormat="1" applyFont="1" applyAlignment="1">
      <alignment wrapText="1"/>
    </xf>
    <xf numFmtId="2" fontId="0" fillId="0" borderId="0" xfId="1" applyNumberFormat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1" applyFont="1" applyAlignment="1">
      <alignment vertical="center"/>
    </xf>
    <xf numFmtId="0" fontId="0" fillId="5" borderId="0" xfId="1" applyFont="1" applyFill="1" applyAlignment="1">
      <alignment vertical="center"/>
    </xf>
    <xf numFmtId="10" fontId="0" fillId="5" borderId="0" xfId="1" applyNumberFormat="1" applyFont="1" applyFill="1" applyAlignment="1">
      <alignment vertical="center"/>
    </xf>
    <xf numFmtId="2" fontId="0" fillId="0" borderId="0" xfId="1" applyNumberFormat="1" applyFont="1" applyAlignment="1">
      <alignment vertical="center" wrapText="1"/>
    </xf>
    <xf numFmtId="10" fontId="0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10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vertical="center"/>
    </xf>
    <xf numFmtId="2" fontId="0" fillId="0" borderId="0" xfId="1" applyNumberFormat="1" applyFont="1" applyAlignment="1">
      <alignment vertical="center"/>
    </xf>
    <xf numFmtId="10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3" fillId="8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6" borderId="0" xfId="1" applyFont="1" applyFill="1" applyAlignment="1">
      <alignment vertical="center" wrapText="1"/>
    </xf>
    <xf numFmtId="2" fontId="0" fillId="3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3" fillId="9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vertical="center" wrapText="1"/>
    </xf>
    <xf numFmtId="0" fontId="0" fillId="11" borderId="0" xfId="0" applyFill="1" applyAlignment="1">
      <alignment vertical="center" wrapText="1"/>
    </xf>
    <xf numFmtId="10" fontId="0" fillId="11" borderId="0" xfId="0" applyNumberFormat="1" applyFill="1" applyAlignment="1">
      <alignment vertical="center" wrapText="1"/>
    </xf>
    <xf numFmtId="10" fontId="0" fillId="12" borderId="0" xfId="0" applyNumberFormat="1" applyFill="1" applyAlignment="1">
      <alignment vertical="center" wrapText="1"/>
    </xf>
    <xf numFmtId="0" fontId="3" fillId="13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0" fillId="14" borderId="0" xfId="0" applyFill="1" applyAlignment="1">
      <alignment vertical="center" wrapText="1"/>
    </xf>
    <xf numFmtId="0" fontId="3" fillId="15" borderId="0" xfId="0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3" fillId="17" borderId="0" xfId="0" applyFont="1" applyFill="1" applyAlignment="1">
      <alignment vertical="center" wrapText="1"/>
    </xf>
    <xf numFmtId="0" fontId="3" fillId="17" borderId="0" xfId="0" applyFont="1" applyFill="1" applyAlignment="1">
      <alignment horizontal="center" vertical="center" wrapText="1"/>
    </xf>
    <xf numFmtId="1" fontId="7" fillId="18" borderId="0" xfId="0" applyNumberFormat="1" applyFont="1" applyFill="1" applyAlignment="1">
      <alignment vertical="center" wrapText="1"/>
    </xf>
    <xf numFmtId="0" fontId="8" fillId="6" borderId="0" xfId="1" applyFont="1" applyFill="1" applyAlignment="1">
      <alignment vertical="center" wrapText="1"/>
    </xf>
    <xf numFmtId="10" fontId="0" fillId="19" borderId="0" xfId="1" applyNumberFormat="1" applyFont="1" applyFill="1" applyAlignment="1">
      <alignment horizontal="center" vertical="center"/>
    </xf>
    <xf numFmtId="0" fontId="0" fillId="19" borderId="0" xfId="1" applyFont="1" applyFill="1" applyAlignment="1">
      <alignment horizontal="center" vertical="center"/>
    </xf>
    <xf numFmtId="10" fontId="0" fillId="19" borderId="0" xfId="0" applyNumberFormat="1" applyFill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0" fillId="6" borderId="0" xfId="1" applyFont="1" applyFill="1" applyAlignment="1">
      <alignment vertical="center" wrapText="1"/>
    </xf>
    <xf numFmtId="0" fontId="3" fillId="7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/>
    </xf>
    <xf numFmtId="0" fontId="0" fillId="6" borderId="0" xfId="1" applyFont="1" applyFill="1" applyAlignment="1">
      <alignment wrapText="1"/>
    </xf>
  </cellXfs>
  <cellStyles count="2">
    <cellStyle name="Normal" xfId="1" xr:uid="{00000000-0005-0000-0000-000000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activeCell="E5" sqref="E5"/>
    </sheetView>
  </sheetViews>
  <sheetFormatPr defaultRowHeight="14.25"/>
  <cols>
    <col min="1" max="1" width="20" customWidth="1"/>
    <col min="2" max="2" width="8" customWidth="1"/>
    <col min="3" max="4" width="13" customWidth="1"/>
    <col min="5" max="6" width="16" customWidth="1"/>
    <col min="7" max="8" width="13" customWidth="1"/>
    <col min="9" max="10" width="14" customWidth="1"/>
    <col min="11" max="11" width="16" customWidth="1"/>
    <col min="12" max="13" width="7.875" customWidth="1"/>
    <col min="14" max="14" width="9.75" customWidth="1"/>
    <col min="15" max="15" width="10.125" customWidth="1"/>
    <col min="16" max="16" width="12.75" customWidth="1"/>
    <col min="17" max="17" width="20" customWidth="1"/>
    <col min="19" max="19" width="22.375" customWidth="1"/>
    <col min="20" max="21" width="7.875" customWidth="1"/>
    <col min="22" max="22" width="9.75" customWidth="1"/>
    <col min="23" max="23" width="10.125" customWidth="1"/>
    <col min="24" max="24" width="12.75" customWidth="1"/>
    <col min="25" max="25" width="2" customWidth="1"/>
  </cols>
  <sheetData>
    <row r="1" spans="1:26" ht="18.75">
      <c r="A1" s="54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15"/>
    </row>
    <row r="2" spans="1:26" ht="14.25" customHeight="1">
      <c r="A2" s="50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47" t="s">
        <v>3</v>
      </c>
      <c r="L2" s="49">
        <v>304</v>
      </c>
      <c r="M2" s="33"/>
      <c r="N2" s="33"/>
      <c r="O2" s="33"/>
      <c r="P2" s="33"/>
      <c r="Q2" s="33"/>
      <c r="R2" s="33"/>
      <c r="S2" s="47" t="s">
        <v>4</v>
      </c>
      <c r="T2" s="49">
        <v>168</v>
      </c>
      <c r="U2" s="33"/>
      <c r="V2" s="33"/>
      <c r="W2" s="33"/>
      <c r="X2" s="33"/>
      <c r="Y2" s="33"/>
      <c r="Z2" s="15"/>
    </row>
    <row r="3" spans="1:26" ht="15">
      <c r="A3" s="57" t="s">
        <v>5</v>
      </c>
      <c r="B3" s="57"/>
      <c r="C3" s="57"/>
      <c r="D3" s="57"/>
      <c r="E3" s="57"/>
      <c r="F3" s="57"/>
      <c r="G3" s="57"/>
      <c r="H3" s="57"/>
      <c r="I3" s="57"/>
      <c r="J3" s="15"/>
      <c r="K3" s="57" t="s">
        <v>6</v>
      </c>
      <c r="L3" s="57"/>
      <c r="M3" s="57"/>
      <c r="N3" s="57"/>
      <c r="O3" s="57"/>
      <c r="P3" s="57"/>
      <c r="Q3" s="57"/>
      <c r="R3" s="15"/>
      <c r="S3" s="57" t="s">
        <v>7</v>
      </c>
      <c r="T3" s="57"/>
      <c r="U3" s="57"/>
      <c r="V3" s="57"/>
      <c r="W3" s="57"/>
      <c r="X3" s="57"/>
      <c r="Y3" s="57"/>
      <c r="Z3" s="15"/>
    </row>
    <row r="4" spans="1:26" ht="45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42" t="s">
        <v>16</v>
      </c>
      <c r="J4" s="42" t="s">
        <v>17</v>
      </c>
      <c r="K4" s="3" t="s">
        <v>18</v>
      </c>
      <c r="L4" s="3" t="s">
        <v>19</v>
      </c>
      <c r="M4" s="3" t="s">
        <v>20</v>
      </c>
      <c r="N4" s="3" t="s">
        <v>21</v>
      </c>
      <c r="O4" s="3" t="s">
        <v>22</v>
      </c>
      <c r="P4" s="3" t="s">
        <v>23</v>
      </c>
      <c r="Q4" s="3" t="s">
        <v>17</v>
      </c>
      <c r="R4" s="3"/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48" t="s">
        <v>17</v>
      </c>
      <c r="Y4" s="3"/>
      <c r="Z4" s="15"/>
    </row>
    <row r="5" spans="1:26" ht="28.5">
      <c r="A5" s="4" t="s">
        <v>24</v>
      </c>
      <c r="B5" s="4" t="s">
        <v>25</v>
      </c>
      <c r="C5" s="9">
        <f>IF(A5="","",MIN(1,설정!$B$8+IF(B5="백어택",설정!$B$5,IF(B5="헤드어택",설정!$B$7,0))))</f>
        <v>1</v>
      </c>
      <c r="D5" s="10">
        <f>IF(A5="","",MAX(1,설정!$B$9-IF(설정!$B$21="채용",설정!$B$22,0)))</f>
        <v>2.6</v>
      </c>
      <c r="E5" s="34">
        <v>1</v>
      </c>
      <c r="F5" s="35">
        <f>IF(A5="","",D5+IFERROR(E5,0)+IF(설정!$B$21="채용",설정!$B$22,0))</f>
        <v>3.6</v>
      </c>
      <c r="G5" s="9">
        <f>IF(A5="","",설정!$B$10)</f>
        <v>0.5</v>
      </c>
      <c r="H5" s="5" t="str">
        <f>IF(A5="","",설정!$B$11)</f>
        <v>음속 돌파 24%</v>
      </c>
      <c r="I5" s="43" t="s">
        <v>26</v>
      </c>
      <c r="J5" s="44" t="s">
        <v>27</v>
      </c>
      <c r="K5" s="11">
        <v>2083.44</v>
      </c>
      <c r="L5" s="7">
        <v>0.44879999999999998</v>
      </c>
      <c r="M5" s="4">
        <v>36</v>
      </c>
      <c r="N5" s="7">
        <v>0.78859999999999997</v>
      </c>
      <c r="O5" s="7">
        <v>0.98019999999999996</v>
      </c>
      <c r="P5" s="7">
        <v>0.76670000000000005</v>
      </c>
      <c r="Q5" s="4"/>
      <c r="R5" s="15"/>
      <c r="S5" s="11">
        <v>498.58</v>
      </c>
      <c r="T5" s="7">
        <v>0.4965</v>
      </c>
      <c r="U5" s="4">
        <v>25</v>
      </c>
      <c r="V5" s="7">
        <v>0.91830000000000001</v>
      </c>
      <c r="W5" s="7">
        <v>1</v>
      </c>
      <c r="X5" s="7" t="s">
        <v>28</v>
      </c>
      <c r="Y5" s="4"/>
      <c r="Z5" s="15"/>
    </row>
    <row r="6" spans="1:26">
      <c r="A6" s="4" t="s">
        <v>29</v>
      </c>
      <c r="B6" s="4" t="s">
        <v>25</v>
      </c>
      <c r="C6" s="9">
        <f>IF(A6="","",MIN(1,설정!$B$8+IF(B6="백어택",설정!$B$5,IF(B6="헤드어택",설정!$B$7,0))))</f>
        <v>1</v>
      </c>
      <c r="D6" s="10">
        <f>IF(A6="","",MAX(1,설정!$B$9-IF(설정!$B$21="채용",설정!$B$22,0)))</f>
        <v>2.6</v>
      </c>
      <c r="E6" s="34">
        <v>0</v>
      </c>
      <c r="F6" s="35">
        <f>IF(A6="","",D6+IFERROR(E6,0)+IF(설정!$B$21="채용",설정!$B$22,0))</f>
        <v>2.6</v>
      </c>
      <c r="G6" s="9">
        <f>IF(A6="","",설정!$B$10)</f>
        <v>0.5</v>
      </c>
      <c r="H6" s="5" t="str">
        <f>IF(A6="","",설정!$B$11)</f>
        <v>음속 돌파 24%</v>
      </c>
      <c r="I6" s="43" t="s">
        <v>26</v>
      </c>
      <c r="J6" s="44"/>
      <c r="K6" s="11">
        <v>544.21</v>
      </c>
      <c r="L6" s="7">
        <v>0.1172</v>
      </c>
      <c r="M6" s="4">
        <v>7</v>
      </c>
      <c r="N6" s="7">
        <v>0.95650000000000002</v>
      </c>
      <c r="O6" s="7">
        <v>1</v>
      </c>
      <c r="P6" s="7">
        <v>0.57140000000000002</v>
      </c>
      <c r="Q6" s="4"/>
      <c r="R6" s="15"/>
      <c r="S6" s="11">
        <v>88.05</v>
      </c>
      <c r="T6" s="7">
        <v>8.77E-2</v>
      </c>
      <c r="U6" s="4">
        <v>4</v>
      </c>
      <c r="V6" s="7">
        <v>0.92349999999999999</v>
      </c>
      <c r="W6" s="7">
        <v>1</v>
      </c>
      <c r="X6" s="7"/>
      <c r="Y6" s="4"/>
      <c r="Z6" s="15"/>
    </row>
    <row r="7" spans="1:26">
      <c r="A7" s="4" t="s">
        <v>30</v>
      </c>
      <c r="B7" s="4" t="s">
        <v>25</v>
      </c>
      <c r="C7" s="9">
        <f>IF(A7="","",MIN(1,설정!$B$8+IF(B7="백어택",설정!$B$5,IF(B7="헤드어택",설정!$B$7,0))))</f>
        <v>1</v>
      </c>
      <c r="D7" s="10">
        <f>IF(A7="","",MAX(1,설정!$B$9-IF(설정!$B$21="채용",설정!$B$22,0)))</f>
        <v>2.6</v>
      </c>
      <c r="E7" s="34">
        <v>0</v>
      </c>
      <c r="F7" s="35">
        <f>IF(A7="","",D7+IFERROR(E7,0)+IF(설정!$B$21="채용",설정!$B$22,0))</f>
        <v>2.6</v>
      </c>
      <c r="G7" s="9">
        <f>IF(A7="","",설정!$B$10)</f>
        <v>0.5</v>
      </c>
      <c r="H7" s="5" t="str">
        <f>IF(A7="","",설정!$B$11)</f>
        <v>음속 돌파 24%</v>
      </c>
      <c r="I7" s="43" t="s">
        <v>26</v>
      </c>
      <c r="J7" s="44"/>
      <c r="K7" s="11">
        <v>536.25</v>
      </c>
      <c r="L7" s="7">
        <v>0.11550000000000001</v>
      </c>
      <c r="M7" s="4">
        <v>13</v>
      </c>
      <c r="N7" s="7">
        <v>0.80349999999999999</v>
      </c>
      <c r="O7" s="7">
        <v>1</v>
      </c>
      <c r="P7" s="7">
        <v>0.92300000000000004</v>
      </c>
      <c r="Q7" s="4"/>
      <c r="R7" s="15"/>
      <c r="S7" s="11">
        <v>100.28</v>
      </c>
      <c r="T7" s="7">
        <v>9.98E-2</v>
      </c>
      <c r="U7" s="4">
        <v>9</v>
      </c>
      <c r="V7" s="7">
        <v>0.94020000000000004</v>
      </c>
      <c r="W7" s="7">
        <v>1</v>
      </c>
      <c r="X7" s="7"/>
      <c r="Y7" s="4"/>
      <c r="Z7" s="15"/>
    </row>
    <row r="8" spans="1:26">
      <c r="A8" s="4" t="s">
        <v>31</v>
      </c>
      <c r="B8" s="4" t="s">
        <v>25</v>
      </c>
      <c r="C8" s="9">
        <f>IF(A8="","",MIN(1,설정!$B$8+IF(B8="백어택",설정!$B$5,IF(B8="헤드어택",설정!$B$7,0))))</f>
        <v>1</v>
      </c>
      <c r="D8" s="10">
        <f>IF(A8="","",MAX(1,설정!$B$9-IF(설정!$B$21="채용",설정!$B$22,0)))</f>
        <v>2.6</v>
      </c>
      <c r="E8" s="34">
        <v>0</v>
      </c>
      <c r="F8" s="35">
        <f>IF(A8="","",D8+IFERROR(E8,0)+IF(설정!$B$21="채용",설정!$B$22,0))</f>
        <v>2.6</v>
      </c>
      <c r="G8" s="9">
        <f>IF(A8="","",설정!$B$10)</f>
        <v>0.5</v>
      </c>
      <c r="H8" s="5" t="str">
        <f>IF(A8="","",설정!$B$11)</f>
        <v>음속 돌파 24%</v>
      </c>
      <c r="I8" s="43" t="s">
        <v>26</v>
      </c>
      <c r="J8" s="44"/>
      <c r="K8" s="11">
        <v>426.77</v>
      </c>
      <c r="L8" s="7">
        <v>9.1899999999999996E-2</v>
      </c>
      <c r="M8" s="4">
        <v>28</v>
      </c>
      <c r="N8" s="7">
        <v>0.82189999999999996</v>
      </c>
      <c r="O8" s="7">
        <v>0.96419999999999995</v>
      </c>
      <c r="P8" s="7">
        <v>0.75</v>
      </c>
      <c r="Q8" s="4"/>
      <c r="R8" s="15"/>
      <c r="S8" s="11">
        <v>81.53</v>
      </c>
      <c r="T8" s="7">
        <v>8.1199999999999994E-2</v>
      </c>
      <c r="U8" s="4">
        <v>18</v>
      </c>
      <c r="V8" s="7">
        <v>0.90559999999999996</v>
      </c>
      <c r="W8" s="7">
        <v>0.94110000000000005</v>
      </c>
      <c r="X8" s="7"/>
      <c r="Y8" s="4"/>
      <c r="Z8" s="15"/>
    </row>
    <row r="9" spans="1:26">
      <c r="A9" s="4" t="s">
        <v>32</v>
      </c>
      <c r="B9" s="4" t="s">
        <v>25</v>
      </c>
      <c r="C9" s="9">
        <f>IF(A9="","",MIN(1,설정!$B$8+IF(B9="백어택",설정!$B$5,IF(B9="헤드어택",설정!$B$7,0))))</f>
        <v>1</v>
      </c>
      <c r="D9" s="10">
        <f>IF(A9="","",MAX(1,설정!$B$9-IF(설정!$B$21="채용",설정!$B$22,0)))</f>
        <v>2.6</v>
      </c>
      <c r="E9" s="34">
        <v>0</v>
      </c>
      <c r="F9" s="35">
        <f>IF(A9="","",D9+IFERROR(E9,0)+IF(설정!$B$21="채용",설정!$B$22,0))</f>
        <v>2.6</v>
      </c>
      <c r="G9" s="9">
        <f>IF(A9="","",설정!$B$10)</f>
        <v>0.5</v>
      </c>
      <c r="H9" s="5" t="str">
        <f>IF(A9="","",설정!$B$11)</f>
        <v>음속 돌파 24%</v>
      </c>
      <c r="I9" s="43" t="s">
        <v>26</v>
      </c>
      <c r="J9" s="44"/>
      <c r="K9" s="11">
        <v>395.4</v>
      </c>
      <c r="L9" s="7">
        <v>8.5099999999999995E-2</v>
      </c>
      <c r="M9" s="4">
        <v>13</v>
      </c>
      <c r="N9" s="7">
        <v>0.72319999999999995</v>
      </c>
      <c r="O9" s="7">
        <v>0.96</v>
      </c>
      <c r="P9" s="7">
        <v>0.76</v>
      </c>
      <c r="Q9" s="4"/>
      <c r="R9" s="15"/>
      <c r="S9" s="11">
        <v>80.3</v>
      </c>
      <c r="T9" s="7">
        <v>7.9899999999999999E-2</v>
      </c>
      <c r="U9" s="4">
        <v>9</v>
      </c>
      <c r="V9" s="7">
        <v>0.84660000000000002</v>
      </c>
      <c r="W9" s="7">
        <v>1</v>
      </c>
      <c r="X9" s="7"/>
      <c r="Y9" s="4"/>
      <c r="Z9" s="15"/>
    </row>
    <row r="10" spans="1:26">
      <c r="A10" s="4" t="s">
        <v>33</v>
      </c>
      <c r="B10" s="4" t="s">
        <v>25</v>
      </c>
      <c r="C10" s="9">
        <f>IF(A10="","",MIN(1,설정!$B$8+IF(B10="백어택",설정!$B$5,IF(B10="헤드어택",설정!$B$7,0))))</f>
        <v>1</v>
      </c>
      <c r="D10" s="10">
        <f>IF(A10="","",MAX(1,설정!$B$9-IF(설정!$B$21="채용",설정!$B$22,0)))</f>
        <v>2.6</v>
      </c>
      <c r="E10" s="34">
        <v>0</v>
      </c>
      <c r="F10" s="35">
        <f>IF(A10="","",D10+IFERROR(E10,0)+IF(설정!$B$21="채용",설정!$B$22,0))</f>
        <v>2.6</v>
      </c>
      <c r="G10" s="9">
        <f>IF(A10="","",설정!$B$10)</f>
        <v>0.5</v>
      </c>
      <c r="H10" s="5" t="str">
        <f>IF(A10="","",설정!$B$11)</f>
        <v>음속 돌파 24%</v>
      </c>
      <c r="I10" s="43" t="s">
        <v>26</v>
      </c>
      <c r="J10" s="44"/>
      <c r="K10" s="11">
        <v>249.28</v>
      </c>
      <c r="L10" s="7">
        <v>5.3699999999999998E-2</v>
      </c>
      <c r="M10" s="4">
        <v>29</v>
      </c>
      <c r="N10" s="7">
        <v>0.71679999999999999</v>
      </c>
      <c r="O10" s="7">
        <v>0.9556</v>
      </c>
      <c r="P10" s="7">
        <v>0.60750000000000004</v>
      </c>
      <c r="Q10" s="4"/>
      <c r="R10" s="15"/>
      <c r="S10" s="11">
        <v>63.24</v>
      </c>
      <c r="T10" s="7">
        <v>6.2899999999999998E-2</v>
      </c>
      <c r="U10" s="4">
        <v>19</v>
      </c>
      <c r="V10" s="7">
        <v>0.83940000000000003</v>
      </c>
      <c r="W10" s="7">
        <v>1</v>
      </c>
      <c r="X10" s="7"/>
      <c r="Y10" s="4"/>
      <c r="Z10" s="15"/>
    </row>
    <row r="11" spans="1:26">
      <c r="A11" s="4" t="s">
        <v>34</v>
      </c>
      <c r="B11" s="4" t="s">
        <v>25</v>
      </c>
      <c r="C11" s="9">
        <f>IF(A11="","",MIN(1,설정!$B$8+IF(B11="백어택",설정!$B$5,IF(B11="헤드어택",설정!$B$7,0))))</f>
        <v>1</v>
      </c>
      <c r="D11" s="10">
        <f>IF(A11="","",MAX(1,설정!$B$9-IF(설정!$B$21="채용",설정!$B$22,0)))</f>
        <v>2.6</v>
      </c>
      <c r="E11" s="34">
        <v>0</v>
      </c>
      <c r="F11" s="35">
        <f>IF(A11="","",D11+IFERROR(E11,0)+IF(설정!$B$21="채용",설정!$B$22,0))</f>
        <v>2.6</v>
      </c>
      <c r="G11" s="9">
        <f>IF(A11="","",설정!$B$10)</f>
        <v>0.5</v>
      </c>
      <c r="H11" s="5" t="str">
        <f>IF(A11="","",설정!$B$11)</f>
        <v>음속 돌파 24%</v>
      </c>
      <c r="I11" s="43" t="s">
        <v>26</v>
      </c>
      <c r="J11" s="44"/>
      <c r="K11" s="11">
        <v>116.8</v>
      </c>
      <c r="L11" s="7">
        <v>2.5100000000000001E-2</v>
      </c>
      <c r="M11" s="4">
        <v>16</v>
      </c>
      <c r="N11" s="7">
        <v>0.6885</v>
      </c>
      <c r="O11" s="7">
        <v>0.96660000000000001</v>
      </c>
      <c r="P11" s="7">
        <v>0.76659999999999995</v>
      </c>
      <c r="Q11" s="4"/>
      <c r="R11" s="15"/>
      <c r="S11" s="11">
        <v>28.1</v>
      </c>
      <c r="T11" s="7">
        <v>2.7900000000000001E-2</v>
      </c>
      <c r="U11" s="4">
        <v>11</v>
      </c>
      <c r="V11" s="7">
        <v>0.81850000000000001</v>
      </c>
      <c r="W11" s="7">
        <v>1</v>
      </c>
      <c r="X11" s="7"/>
      <c r="Y11" s="4"/>
      <c r="Z11" s="15"/>
    </row>
    <row r="12" spans="1:26">
      <c r="A12" s="4" t="s">
        <v>35</v>
      </c>
      <c r="B12" s="4" t="s">
        <v>36</v>
      </c>
      <c r="C12" s="9">
        <f>IF(A12="","",MIN(1,설정!$B$8+IF(B12="백어택",설정!$B$5,IF(B12="헤드어택",설정!$B$7,0))))</f>
        <v>0.9</v>
      </c>
      <c r="D12" s="10">
        <f>IF(A12="","",MAX(1,설정!$B$9-IF(설정!$B$21="채용",설정!$B$22,0)))</f>
        <v>2.6</v>
      </c>
      <c r="E12" s="34">
        <v>0</v>
      </c>
      <c r="F12" s="35">
        <f>IF(A12="","",D12+IFERROR(E12,0)+IF(설정!$B$21="채용",설정!$B$22,0))</f>
        <v>2.6</v>
      </c>
      <c r="G12" s="9">
        <f>IF(A12="","",설정!$B$10)</f>
        <v>0.5</v>
      </c>
      <c r="H12" s="5" t="str">
        <f>IF(A12="","",설정!$B$11)</f>
        <v>음속 돌파 24%</v>
      </c>
      <c r="I12" s="43" t="s">
        <v>37</v>
      </c>
      <c r="J12" s="44"/>
      <c r="K12" s="11">
        <v>51.05</v>
      </c>
      <c r="L12" s="7">
        <v>1.09E-2</v>
      </c>
      <c r="M12" s="4"/>
      <c r="N12" s="7"/>
      <c r="O12" s="7">
        <v>0.96260000000000001</v>
      </c>
      <c r="P12" s="7">
        <v>0</v>
      </c>
      <c r="Q12" s="4"/>
      <c r="R12" s="15"/>
      <c r="S12" s="11">
        <v>8.5500000000000007</v>
      </c>
      <c r="T12" s="7">
        <v>8.5000000000000006E-3</v>
      </c>
      <c r="U12" s="4"/>
      <c r="V12" s="7"/>
      <c r="W12" s="7">
        <v>0.89780000000000004</v>
      </c>
      <c r="X12" s="7"/>
      <c r="Y12" s="4"/>
      <c r="Z12" s="15"/>
    </row>
    <row r="13" spans="1:26">
      <c r="A13" s="4" t="s">
        <v>38</v>
      </c>
      <c r="B13" s="4" t="s">
        <v>36</v>
      </c>
      <c r="C13" s="9">
        <f>IF(A13="","",MIN(1,설정!$B$8+IF(B13="백어택",설정!$B$5,IF(B13="헤드어택",설정!$B$7,0))))</f>
        <v>0.9</v>
      </c>
      <c r="D13" s="10">
        <f>IF(A13="","",MAX(1,설정!$B$9-IF(설정!$B$21="채용",설정!$B$22,0)))</f>
        <v>2.6</v>
      </c>
      <c r="E13" s="34">
        <v>0</v>
      </c>
      <c r="F13" s="35">
        <f>IF(A13="","",D13+IFERROR(E13,0)+IF(설정!$B$21="채용",설정!$B$22,0))</f>
        <v>2.6</v>
      </c>
      <c r="G13" s="9">
        <f>IF(A13="","",설정!$B$10)</f>
        <v>0.5</v>
      </c>
      <c r="H13" s="5" t="str">
        <f>IF(A13="","",설정!$B$11)</f>
        <v>음속 돌파 24%</v>
      </c>
      <c r="I13" s="43" t="s">
        <v>37</v>
      </c>
      <c r="J13" s="44"/>
      <c r="K13" s="11">
        <v>48.13</v>
      </c>
      <c r="L13" s="7">
        <v>1.03E-2</v>
      </c>
      <c r="M13" s="4"/>
      <c r="N13" s="7"/>
      <c r="O13" s="7">
        <v>0.91590000000000005</v>
      </c>
      <c r="P13" s="7">
        <v>0</v>
      </c>
      <c r="Q13" s="4"/>
      <c r="R13" s="15"/>
      <c r="S13" s="11">
        <v>9.44</v>
      </c>
      <c r="T13" s="7">
        <v>9.4000000000000004E-3</v>
      </c>
      <c r="U13" s="4"/>
      <c r="V13" s="7"/>
      <c r="W13" s="7">
        <v>0.90659999999999996</v>
      </c>
      <c r="X13" s="7"/>
      <c r="Y13" s="4"/>
      <c r="Z13" s="15"/>
    </row>
    <row r="14" spans="1:26">
      <c r="A14" s="4" t="s">
        <v>39</v>
      </c>
      <c r="B14" s="4" t="s">
        <v>36</v>
      </c>
      <c r="C14" s="9">
        <f>IF(A14="","",MIN(1,설정!$B$8+IF(B14="백어택",설정!$B$5,IF(B14="헤드어택",설정!$B$7,0))))</f>
        <v>0.9</v>
      </c>
      <c r="D14" s="10">
        <f>IF(A14="","",MAX(1,설정!$B$9-IF(설정!$B$21="채용",설정!$B$22,0)))</f>
        <v>2.6</v>
      </c>
      <c r="E14" s="34">
        <v>0</v>
      </c>
      <c r="F14" s="35">
        <f>IF(A14="","",D14+IFERROR(E14,0)+IF(설정!$B$21="채용",설정!$B$22,0))</f>
        <v>2.6</v>
      </c>
      <c r="G14" s="9">
        <f>IF(A14="","",설정!$B$10)</f>
        <v>0.5</v>
      </c>
      <c r="H14" s="5" t="str">
        <f>IF(A14="","",설정!$B$11)</f>
        <v>음속 돌파 24%</v>
      </c>
      <c r="I14" s="43" t="s">
        <v>40</v>
      </c>
      <c r="J14" s="44"/>
      <c r="K14" s="11">
        <v>43.64</v>
      </c>
      <c r="L14" s="7">
        <v>9.4000000000000004E-3</v>
      </c>
      <c r="M14" s="4">
        <v>39</v>
      </c>
      <c r="N14" s="7">
        <v>0.92200000000000004</v>
      </c>
      <c r="O14" s="7">
        <v>0.93510000000000004</v>
      </c>
      <c r="P14" s="7">
        <v>0</v>
      </c>
      <c r="Q14" s="4"/>
      <c r="R14" s="15"/>
      <c r="S14" s="11">
        <v>8.39</v>
      </c>
      <c r="T14" s="7">
        <v>8.3000000000000001E-3</v>
      </c>
      <c r="U14" s="4">
        <v>23</v>
      </c>
      <c r="V14" s="7">
        <v>0.9657</v>
      </c>
      <c r="W14" s="7">
        <v>0.87339999999999995</v>
      </c>
      <c r="X14" s="7"/>
      <c r="Y14" s="4"/>
      <c r="Z14" s="15"/>
    </row>
    <row r="15" spans="1:26">
      <c r="A15" s="4" t="s">
        <v>41</v>
      </c>
      <c r="B15" s="4" t="s">
        <v>36</v>
      </c>
      <c r="C15" s="9">
        <f>IF(A15="","",MIN(1,설정!$B$8+IF(B15="백어택",설정!$B$5,IF(B15="헤드어택",설정!$B$7,0))))</f>
        <v>0.9</v>
      </c>
      <c r="D15" s="10">
        <f>IF(A15="","",MAX(1,설정!$B$9-IF(설정!$B$21="채용",설정!$B$22,0)))</f>
        <v>2.6</v>
      </c>
      <c r="E15" s="34">
        <v>0</v>
      </c>
      <c r="F15" s="35">
        <f>IF(A15="","",D15+IFERROR(E15,0)+IF(설정!$B$21="채용",설정!$B$22,0))</f>
        <v>2.6</v>
      </c>
      <c r="G15" s="9">
        <f>IF(A15="","",설정!$B$10)</f>
        <v>0.5</v>
      </c>
      <c r="H15" s="5" t="str">
        <f>IF(A15="","",설정!$B$11)</f>
        <v>음속 돌파 24%</v>
      </c>
      <c r="I15" s="43" t="s">
        <v>26</v>
      </c>
      <c r="J15" s="44"/>
      <c r="K15" s="11">
        <v>43.35</v>
      </c>
      <c r="L15" s="7">
        <v>9.2999999999999992E-3</v>
      </c>
      <c r="M15" s="4">
        <v>1</v>
      </c>
      <c r="N15" s="7">
        <v>0.59440000000000004</v>
      </c>
      <c r="O15" s="7">
        <v>1</v>
      </c>
      <c r="P15" s="7">
        <v>0</v>
      </c>
      <c r="Q15" s="4"/>
      <c r="R15" s="15"/>
      <c r="S15" s="11"/>
      <c r="T15" s="7"/>
      <c r="U15" s="4"/>
      <c r="V15" s="7"/>
      <c r="W15" s="7"/>
      <c r="X15" s="7"/>
      <c r="Y15" s="4"/>
      <c r="Z15" s="15"/>
    </row>
    <row r="16" spans="1:26">
      <c r="A16" s="4" t="s">
        <v>42</v>
      </c>
      <c r="B16" s="4" t="s">
        <v>36</v>
      </c>
      <c r="C16" s="9">
        <f>IF(A16="","",MIN(1,설정!$B$8+IF(B16="백어택",설정!$B$5,IF(B16="헤드어택",설정!$B$7,0))))</f>
        <v>0.9</v>
      </c>
      <c r="D16" s="10">
        <f>IF(A16="","",MAX(1,설정!$B$9-IF(설정!$B$21="채용",설정!$B$22,0)))</f>
        <v>2.6</v>
      </c>
      <c r="E16" s="34">
        <v>0</v>
      </c>
      <c r="F16" s="35">
        <f>IF(A16="","",D16+IFERROR(E16,0)+IF(설정!$B$21="채용",설정!$B$22,0))</f>
        <v>2.6</v>
      </c>
      <c r="G16" s="9">
        <f>IF(A16="","",설정!$B$10)</f>
        <v>0.5</v>
      </c>
      <c r="H16" s="5" t="str">
        <f>IF(A16="","",설정!$B$11)</f>
        <v>음속 돌파 24%</v>
      </c>
      <c r="I16" s="43" t="s">
        <v>37</v>
      </c>
      <c r="J16" s="44"/>
      <c r="K16" s="11">
        <v>35.020000000000003</v>
      </c>
      <c r="L16" s="7">
        <v>7.4999999999999997E-3</v>
      </c>
      <c r="M16" s="4"/>
      <c r="N16" s="7"/>
      <c r="O16" s="7">
        <v>0.90449999999999997</v>
      </c>
      <c r="P16" s="7">
        <v>0</v>
      </c>
      <c r="Q16" s="4"/>
      <c r="R16" s="15"/>
      <c r="S16" s="11">
        <v>6.22</v>
      </c>
      <c r="T16" s="7">
        <v>6.1999999999999998E-3</v>
      </c>
      <c r="U16" s="4"/>
      <c r="V16" s="7"/>
      <c r="W16" s="7">
        <v>0.91010000000000002</v>
      </c>
      <c r="X16" s="7"/>
      <c r="Y16" s="4"/>
      <c r="Z16" s="15"/>
    </row>
    <row r="17" spans="1:26">
      <c r="A17" s="4" t="s">
        <v>43</v>
      </c>
      <c r="B17" s="4" t="s">
        <v>36</v>
      </c>
      <c r="C17" s="9">
        <f>IF(A17="","",MIN(1,설정!$B$8+IF(B17="백어택",설정!$B$5,IF(B17="헤드어택",설정!$B$7,0))))</f>
        <v>0.9</v>
      </c>
      <c r="D17" s="10">
        <f>IF(A17="","",MAX(1,설정!$B$9-IF(설정!$B$21="채용",설정!$B$22,0)))</f>
        <v>2.6</v>
      </c>
      <c r="E17" s="34">
        <v>0</v>
      </c>
      <c r="F17" s="35">
        <f>IF(A17="","",D17+IFERROR(E17,0)+IF(설정!$B$21="채용",설정!$B$22,0))</f>
        <v>2.6</v>
      </c>
      <c r="G17" s="9">
        <f>IF(A17="","",설정!$B$10)</f>
        <v>0.5</v>
      </c>
      <c r="H17" s="5" t="str">
        <f>IF(A17="","",설정!$B$11)</f>
        <v>음속 돌파 24%</v>
      </c>
      <c r="I17" s="43" t="s">
        <v>44</v>
      </c>
      <c r="J17" s="44"/>
      <c r="K17" s="11">
        <v>32.29</v>
      </c>
      <c r="L17" s="7">
        <v>6.8999999999999999E-3</v>
      </c>
      <c r="M17" s="4">
        <v>31</v>
      </c>
      <c r="N17" s="7">
        <v>0.84950000000000003</v>
      </c>
      <c r="O17" s="7">
        <v>0.92500000000000004</v>
      </c>
      <c r="P17" s="7">
        <v>0</v>
      </c>
      <c r="Q17" s="4"/>
      <c r="R17" s="15"/>
      <c r="S17" s="11">
        <v>8</v>
      </c>
      <c r="T17" s="7">
        <v>7.9000000000000008E-3</v>
      </c>
      <c r="U17" s="4">
        <v>20</v>
      </c>
      <c r="V17" s="7">
        <v>0.96509999999999996</v>
      </c>
      <c r="W17" s="7">
        <v>0.90900000000000003</v>
      </c>
      <c r="X17" s="7"/>
      <c r="Y17" s="4"/>
      <c r="Z17" s="15"/>
    </row>
    <row r="18" spans="1:26">
      <c r="A18" s="4" t="s">
        <v>45</v>
      </c>
      <c r="B18" s="4" t="s">
        <v>36</v>
      </c>
      <c r="C18" s="9">
        <f>IF(A18="","",MIN(1,설정!$B$8+IF(B18="백어택",설정!$B$5,IF(B18="헤드어택",설정!$B$7,0))))</f>
        <v>0.9</v>
      </c>
      <c r="D18" s="10">
        <f>IF(A18="","",MAX(1,설정!$B$9-IF(설정!$B$21="채용",설정!$B$22,0)))</f>
        <v>2.6</v>
      </c>
      <c r="E18" s="34">
        <v>0</v>
      </c>
      <c r="F18" s="35">
        <f>IF(A18="","",D18+IFERROR(E18,0)+IF(설정!$B$21="채용",설정!$B$22,0))</f>
        <v>2.6</v>
      </c>
      <c r="G18" s="9">
        <f>IF(A18="","",설정!$B$10)</f>
        <v>0.5</v>
      </c>
      <c r="H18" s="5" t="str">
        <f>IF(A18="","",설정!$B$11)</f>
        <v>음속 돌파 24%</v>
      </c>
      <c r="I18" s="43" t="s">
        <v>40</v>
      </c>
      <c r="J18" s="44"/>
      <c r="K18" s="11">
        <v>27.21</v>
      </c>
      <c r="L18" s="7">
        <v>5.7999999999999996E-3</v>
      </c>
      <c r="M18" s="4"/>
      <c r="N18" s="7"/>
      <c r="O18" s="7"/>
      <c r="P18" s="7">
        <v>0</v>
      </c>
      <c r="Q18" s="4"/>
      <c r="R18" s="15"/>
      <c r="S18" s="11">
        <v>17.440000000000001</v>
      </c>
      <c r="T18" s="7">
        <v>1.7299999999999999E-2</v>
      </c>
      <c r="U18" s="4"/>
      <c r="V18" s="7"/>
      <c r="W18" s="7"/>
      <c r="X18" s="7"/>
      <c r="Y18" s="4"/>
      <c r="Z18" s="15"/>
    </row>
    <row r="19" spans="1:26">
      <c r="A19" s="4" t="s">
        <v>46</v>
      </c>
      <c r="B19" s="4" t="s">
        <v>36</v>
      </c>
      <c r="C19" s="9">
        <f>IF(A19="","",MIN(1,설정!$B$8+IF(B19="백어택",설정!$B$5,IF(B19="헤드어택",설정!$B$7,0))))</f>
        <v>0.9</v>
      </c>
      <c r="D19" s="10">
        <f>IF(A19="","",MAX(1,설정!$B$9-IF(설정!$B$21="채용",설정!$B$22,0)))</f>
        <v>2.6</v>
      </c>
      <c r="E19" s="34">
        <v>0</v>
      </c>
      <c r="F19" s="35">
        <f>IF(A19="","",D19+IFERROR(E19,0)+IF(설정!$B$21="채용",설정!$B$22,0))</f>
        <v>2.6</v>
      </c>
      <c r="G19" s="9">
        <f>IF(A19="","",설정!$B$10)</f>
        <v>0.5</v>
      </c>
      <c r="H19" s="5" t="str">
        <f>IF(A19="","",설정!$B$11)</f>
        <v>음속 돌파 24%</v>
      </c>
      <c r="I19" s="43" t="s">
        <v>40</v>
      </c>
      <c r="J19" s="44"/>
      <c r="K19" s="11"/>
      <c r="L19" s="7"/>
      <c r="M19" s="4"/>
      <c r="N19" s="7"/>
      <c r="O19" s="7"/>
      <c r="P19" s="7">
        <v>0</v>
      </c>
      <c r="Q19" s="4"/>
      <c r="R19" s="15"/>
      <c r="S19" s="11">
        <v>5.73</v>
      </c>
      <c r="T19" s="7">
        <v>5.7000000000000002E-3</v>
      </c>
      <c r="U19" s="4"/>
      <c r="V19" s="7"/>
      <c r="W19" s="7">
        <v>0.98729999999999996</v>
      </c>
      <c r="X19" s="7"/>
      <c r="Y19" s="4"/>
      <c r="Z19" s="15"/>
    </row>
    <row r="20" spans="1:26">
      <c r="A20" s="4"/>
      <c r="B20" s="4"/>
      <c r="C20" s="9" t="str">
        <f>IF(A20="","",MIN(1,설정!$B$8+IF(B20="백어택",설정!$B$5,IF(B20="헤드어택",설정!$B$7,0))))</f>
        <v/>
      </c>
      <c r="D20" s="10" t="str">
        <f>IF(A20="","",MAX(1,설정!$B$9-IF(설정!$B$21="채용",설정!$B$22,0)))</f>
        <v/>
      </c>
      <c r="E20" s="34"/>
      <c r="F20" s="35" t="str">
        <f>IF(A20="","",D20+IFERROR(E20,0)+IF(설정!$B$21="채용",설정!$B$22,0))</f>
        <v/>
      </c>
      <c r="G20" s="9" t="str">
        <f>IF(A20="","",설정!$B$10)</f>
        <v/>
      </c>
      <c r="H20" s="5" t="str">
        <f>IF(A20="","",설정!$B$11)</f>
        <v/>
      </c>
      <c r="I20" s="43"/>
      <c r="J20" s="44"/>
      <c r="K20" s="11"/>
      <c r="L20" s="7"/>
      <c r="M20" s="4"/>
      <c r="N20" s="7"/>
      <c r="O20" s="7"/>
      <c r="P20" s="7"/>
      <c r="Q20" s="4"/>
      <c r="R20" s="15"/>
      <c r="S20" s="11"/>
      <c r="T20" s="7"/>
      <c r="U20" s="4"/>
      <c r="V20" s="7"/>
      <c r="W20" s="7"/>
      <c r="X20" s="7"/>
      <c r="Y20" s="4"/>
      <c r="Z20" s="15"/>
    </row>
    <row r="21" spans="1:26">
      <c r="A21" s="4"/>
      <c r="B21" s="4"/>
      <c r="C21" s="9" t="str">
        <f>IF(A21="","",MIN(1,설정!$B$8+IF(B21="백어택",설정!$B$5,IF(B21="헤드어택",설정!$B$7,0))))</f>
        <v/>
      </c>
      <c r="D21" s="10" t="str">
        <f>IF(A21="","",MAX(1,설정!$B$9-IF(설정!$B$21="채용",설정!$B$22,0)))</f>
        <v/>
      </c>
      <c r="E21" s="34"/>
      <c r="F21" s="35" t="str">
        <f>IF(A21="","",D21+IFERROR(E21,0)+IF(설정!$B$21="채용",설정!$B$22,0))</f>
        <v/>
      </c>
      <c r="G21" s="9" t="str">
        <f>IF(A21="","",설정!$B$10)</f>
        <v/>
      </c>
      <c r="H21" s="5" t="str">
        <f>IF(A21="","",설정!$B$11)</f>
        <v/>
      </c>
      <c r="I21" s="43"/>
      <c r="J21" s="44"/>
      <c r="K21" s="11"/>
      <c r="L21" s="7"/>
      <c r="M21" s="4"/>
      <c r="N21" s="7"/>
      <c r="O21" s="7"/>
      <c r="P21" s="7"/>
      <c r="Q21" s="4"/>
      <c r="R21" s="15"/>
      <c r="S21" s="11"/>
      <c r="T21" s="7"/>
      <c r="U21" s="4"/>
      <c r="V21" s="7"/>
      <c r="W21" s="7"/>
      <c r="X21" s="7"/>
      <c r="Y21" s="4"/>
      <c r="Z21" s="15"/>
    </row>
    <row r="22" spans="1:26">
      <c r="A22" s="4"/>
      <c r="B22" s="4"/>
      <c r="C22" s="9" t="str">
        <f>IF(A22="","",MIN(1,설정!$B$8+IF(B22="백어택",설정!$B$5,IF(B22="헤드어택",설정!$B$7,0))))</f>
        <v/>
      </c>
      <c r="D22" s="10" t="str">
        <f>IF(A22="","",MAX(1,설정!$B$9-IF(설정!$B$21="채용",설정!$B$22,0)))</f>
        <v/>
      </c>
      <c r="E22" s="34"/>
      <c r="F22" s="35" t="str">
        <f>IF(A22="","",D22+IFERROR(E22,0)+IF(설정!$B$21="채용",설정!$B$22,0))</f>
        <v/>
      </c>
      <c r="G22" s="9" t="str">
        <f>IF(A22="","",설정!$B$10)</f>
        <v/>
      </c>
      <c r="H22" s="5" t="str">
        <f>IF(A22="","",설정!$B$11)</f>
        <v/>
      </c>
      <c r="I22" s="43"/>
      <c r="J22" s="44"/>
      <c r="K22" s="11"/>
      <c r="L22" s="7"/>
      <c r="M22" s="4"/>
      <c r="N22" s="7"/>
      <c r="O22" s="7"/>
      <c r="P22" s="7"/>
      <c r="Q22" s="4"/>
      <c r="R22" s="15"/>
      <c r="S22" s="11"/>
      <c r="T22" s="7"/>
      <c r="U22" s="4"/>
      <c r="V22" s="7"/>
      <c r="W22" s="7"/>
      <c r="X22" s="7"/>
      <c r="Y22" s="4"/>
      <c r="Z22" s="15"/>
    </row>
    <row r="23" spans="1:26">
      <c r="A23" s="4"/>
      <c r="B23" s="4"/>
      <c r="C23" s="9" t="str">
        <f>IF(A23="","",MIN(1,설정!$B$8+IF(B23="백어택",설정!$B$5,IF(B23="헤드어택",설정!$B$7,0))))</f>
        <v/>
      </c>
      <c r="D23" s="10" t="str">
        <f>IF(A23="","",MAX(1,설정!$B$9-IF(설정!$B$21="채용",설정!$B$22,0)))</f>
        <v/>
      </c>
      <c r="E23" s="34"/>
      <c r="F23" s="35" t="str">
        <f>IF(A23="","",D23+IFERROR(E23,0)+IF(설정!$B$21="채용",설정!$B$22,0))</f>
        <v/>
      </c>
      <c r="G23" s="9" t="str">
        <f>IF(A23="","",설정!$B$10)</f>
        <v/>
      </c>
      <c r="H23" s="5" t="str">
        <f>IF(A23="","",설정!$B$11)</f>
        <v/>
      </c>
      <c r="I23" s="43"/>
      <c r="J23" s="44"/>
      <c r="K23" s="11"/>
      <c r="L23" s="7"/>
      <c r="M23" s="4"/>
      <c r="N23" s="7"/>
      <c r="O23" s="7"/>
      <c r="P23" s="7"/>
      <c r="Q23" s="4"/>
      <c r="R23" s="15"/>
      <c r="S23" s="11"/>
      <c r="T23" s="7"/>
      <c r="U23" s="4"/>
      <c r="V23" s="7"/>
      <c r="W23" s="7"/>
      <c r="X23" s="7"/>
      <c r="Y23" s="4"/>
      <c r="Z23" s="15"/>
    </row>
    <row r="24" spans="1:26">
      <c r="A24" s="4"/>
      <c r="B24" s="4"/>
      <c r="C24" s="9" t="str">
        <f>IF(A24="","",MIN(1,설정!$B$8+IF(B24="백어택",설정!$B$5,IF(B24="헤드어택",설정!$B$7,0))))</f>
        <v/>
      </c>
      <c r="D24" s="10" t="str">
        <f>IF(A24="","",MAX(1,설정!$B$9-IF(설정!$B$21="채용",설정!$B$22,0)))</f>
        <v/>
      </c>
      <c r="E24" s="34"/>
      <c r="F24" s="35" t="str">
        <f>IF(A24="","",D24+IFERROR(E24,0)+IF(설정!$B$21="채용",설정!$B$22,0))</f>
        <v/>
      </c>
      <c r="G24" s="9" t="str">
        <f>IF(A24="","",설정!$B$10)</f>
        <v/>
      </c>
      <c r="H24" s="5" t="str">
        <f>IF(A24="","",설정!$B$11)</f>
        <v/>
      </c>
      <c r="I24" s="43"/>
      <c r="J24" s="44"/>
      <c r="K24" s="11"/>
      <c r="L24" s="7"/>
      <c r="M24" s="4"/>
      <c r="N24" s="7"/>
      <c r="O24" s="7"/>
      <c r="P24" s="7"/>
      <c r="Q24" s="4"/>
      <c r="R24" s="15"/>
      <c r="S24" s="11"/>
      <c r="T24" s="7"/>
      <c r="U24" s="4"/>
      <c r="V24" s="7"/>
      <c r="W24" s="7"/>
      <c r="X24" s="7"/>
      <c r="Y24" s="4"/>
      <c r="Z24" s="15"/>
    </row>
    <row r="25" spans="1:26">
      <c r="A25" s="4"/>
      <c r="B25" s="4"/>
      <c r="C25" s="9" t="str">
        <f>IF(A25="","",MIN(1,설정!$B$8+IF(B25="백어택",설정!$B$5,IF(B25="헤드어택",설정!$B$7,0))))</f>
        <v/>
      </c>
      <c r="D25" s="10" t="str">
        <f>IF(A25="","",MAX(1,설정!$B$9-IF(설정!$B$21="채용",설정!$B$22,0)))</f>
        <v/>
      </c>
      <c r="E25" s="34"/>
      <c r="F25" s="35" t="str">
        <f>IF(A25="","",D25+IFERROR(E25,0)+IF(설정!$B$21="채용",설정!$B$22,0))</f>
        <v/>
      </c>
      <c r="G25" s="9" t="str">
        <f>IF(A25="","",설정!$B$10)</f>
        <v/>
      </c>
      <c r="H25" s="5" t="str">
        <f>IF(A25="","",설정!$B$11)</f>
        <v/>
      </c>
      <c r="I25" s="43"/>
      <c r="J25" s="44"/>
      <c r="K25" s="11"/>
      <c r="L25" s="7"/>
      <c r="M25" s="4"/>
      <c r="N25" s="7"/>
      <c r="O25" s="7"/>
      <c r="P25" s="7"/>
      <c r="Q25" s="4"/>
      <c r="R25" s="15"/>
      <c r="S25" s="11"/>
      <c r="T25" s="7"/>
      <c r="U25" s="4"/>
      <c r="V25" s="7"/>
      <c r="W25" s="7"/>
      <c r="X25" s="7"/>
      <c r="Y25" s="4"/>
      <c r="Z25" s="15"/>
    </row>
    <row r="26" spans="1:26">
      <c r="A26" s="4"/>
      <c r="B26" s="4"/>
      <c r="C26" s="9" t="str">
        <f>IF(A26="","",MIN(1,설정!$B$8+IF(B26="백어택",설정!$B$5,IF(B26="헤드어택",설정!$B$7,0))))</f>
        <v/>
      </c>
      <c r="D26" s="10" t="str">
        <f>IF(A26="","",MAX(1,설정!$B$9-IF(설정!$B$21="채용",설정!$B$22,0)))</f>
        <v/>
      </c>
      <c r="E26" s="34"/>
      <c r="F26" s="35" t="str">
        <f>IF(A26="","",D26+IFERROR(E26,0)+IF(설정!$B$21="채용",설정!$B$22,0))</f>
        <v/>
      </c>
      <c r="G26" s="9" t="str">
        <f>IF(A26="","",설정!$B$10)</f>
        <v/>
      </c>
      <c r="H26" s="5" t="str">
        <f>IF(A26="","",설정!$B$11)</f>
        <v/>
      </c>
      <c r="I26" s="43"/>
      <c r="J26" s="44"/>
      <c r="K26" s="11"/>
      <c r="L26" s="7"/>
      <c r="M26" s="4"/>
      <c r="N26" s="7"/>
      <c r="O26" s="7"/>
      <c r="P26" s="7"/>
      <c r="Q26" s="4"/>
      <c r="R26" s="15"/>
      <c r="S26" s="11"/>
      <c r="T26" s="7"/>
      <c r="U26" s="4"/>
      <c r="V26" s="7"/>
      <c r="W26" s="7"/>
      <c r="X26" s="7"/>
      <c r="Y26" s="4"/>
      <c r="Z26" s="15"/>
    </row>
    <row r="27" spans="1:26">
      <c r="A27" s="4"/>
      <c r="B27" s="4"/>
      <c r="C27" s="9" t="str">
        <f>IF(A27="","",MIN(1,설정!$B$8+IF(B27="백어택",설정!$B$5,IF(B27="헤드어택",설정!$B$7,0))))</f>
        <v/>
      </c>
      <c r="D27" s="10" t="str">
        <f>IF(A27="","",MAX(1,설정!$B$9-IF(설정!$B$21="채용",설정!$B$22,0)))</f>
        <v/>
      </c>
      <c r="E27" s="34"/>
      <c r="F27" s="35" t="str">
        <f>IF(A27="","",D27+IFERROR(E27,0)+IF(설정!$B$21="채용",설정!$B$22,0))</f>
        <v/>
      </c>
      <c r="G27" s="9" t="str">
        <f>IF(A27="","",설정!$B$10)</f>
        <v/>
      </c>
      <c r="H27" s="5" t="str">
        <f>IF(A27="","",설정!$B$11)</f>
        <v/>
      </c>
      <c r="I27" s="43"/>
      <c r="J27" s="44"/>
      <c r="K27" s="11"/>
      <c r="L27" s="7"/>
      <c r="M27" s="4"/>
      <c r="N27" s="7"/>
      <c r="O27" s="7"/>
      <c r="P27" s="7"/>
      <c r="Q27" s="4"/>
      <c r="R27" s="15"/>
      <c r="S27" s="11"/>
      <c r="T27" s="7"/>
      <c r="U27" s="4"/>
      <c r="V27" s="7"/>
      <c r="W27" s="7"/>
      <c r="X27" s="7"/>
      <c r="Y27" s="4"/>
      <c r="Z27" s="15"/>
    </row>
    <row r="28" spans="1:26">
      <c r="A28" s="4"/>
      <c r="B28" s="4"/>
      <c r="C28" s="9" t="str">
        <f>IF(A28="","",MIN(1,설정!$B$8+IF(B28="백어택",설정!$B$5,IF(B28="헤드어택",설정!$B$7,0))))</f>
        <v/>
      </c>
      <c r="D28" s="10" t="str">
        <f>IF(A28="","",MAX(1,설정!$B$9-IF(설정!$B$21="채용",설정!$B$22,0)))</f>
        <v/>
      </c>
      <c r="E28" s="34"/>
      <c r="F28" s="35" t="str">
        <f>IF(A28="","",D28+IFERROR(E28,0)+IF(설정!$B$21="채용",설정!$B$22,0))</f>
        <v/>
      </c>
      <c r="G28" s="9" t="str">
        <f>IF(A28="","",설정!$B$10)</f>
        <v/>
      </c>
      <c r="H28" s="5" t="str">
        <f>IF(A28="","",설정!$B$11)</f>
        <v/>
      </c>
      <c r="I28" s="43"/>
      <c r="J28" s="44"/>
      <c r="K28" s="11"/>
      <c r="L28" s="7"/>
      <c r="M28" s="4"/>
      <c r="N28" s="7"/>
      <c r="O28" s="7"/>
      <c r="P28" s="7"/>
      <c r="Q28" s="4"/>
      <c r="R28" s="15"/>
      <c r="S28" s="11"/>
      <c r="T28" s="7"/>
      <c r="U28" s="4"/>
      <c r="V28" s="7"/>
      <c r="W28" s="7"/>
      <c r="X28" s="7"/>
      <c r="Y28" s="4"/>
      <c r="Z28" s="15"/>
    </row>
    <row r="29" spans="1:26">
      <c r="A29" s="4"/>
      <c r="B29" s="4"/>
      <c r="C29" s="9" t="str">
        <f>IF(A29="","",MIN(1,설정!$B$8+IF(B29="백어택",설정!$B$5,IF(B29="헤드어택",설정!$B$7,0))))</f>
        <v/>
      </c>
      <c r="D29" s="10" t="str">
        <f>IF(A29="","",MAX(1,설정!$B$9-IF(설정!$B$21="채용",설정!$B$22,0)))</f>
        <v/>
      </c>
      <c r="E29" s="34"/>
      <c r="F29" s="35" t="str">
        <f>IF(A29="","",D29+IFERROR(E29,0)+IF(설정!$B$21="채용",설정!$B$22,0))</f>
        <v/>
      </c>
      <c r="G29" s="9" t="str">
        <f>IF(A29="","",설정!$B$10)</f>
        <v/>
      </c>
      <c r="H29" s="5" t="str">
        <f>IF(A29="","",설정!$B$11)</f>
        <v/>
      </c>
      <c r="I29" s="43"/>
      <c r="J29" s="44"/>
      <c r="K29" s="11"/>
      <c r="L29" s="7"/>
      <c r="M29" s="4"/>
      <c r="N29" s="7"/>
      <c r="O29" s="7"/>
      <c r="P29" s="7"/>
      <c r="Q29" s="4"/>
      <c r="R29" s="15"/>
      <c r="S29" s="11"/>
      <c r="T29" s="7"/>
      <c r="U29" s="4"/>
      <c r="V29" s="7"/>
      <c r="W29" s="7"/>
      <c r="X29" s="7"/>
      <c r="Y29" s="4"/>
      <c r="Z29" s="15"/>
    </row>
    <row r="30" spans="1:26">
      <c r="A30" s="4"/>
      <c r="B30" s="4"/>
      <c r="C30" s="9" t="str">
        <f>IF(A30="","",MIN(1,설정!$B$8+IF(B30="백어택",설정!$B$5,IF(B30="헤드어택",설정!$B$7,0))))</f>
        <v/>
      </c>
      <c r="D30" s="10" t="str">
        <f>IF(A30="","",MAX(1,설정!$B$9-IF(설정!$B$21="채용",설정!$B$22,0)))</f>
        <v/>
      </c>
      <c r="E30" s="34"/>
      <c r="F30" s="35" t="str">
        <f>IF(A30="","",D30+IFERROR(E30,0)+IF(설정!$B$21="채용",설정!$B$22,0))</f>
        <v/>
      </c>
      <c r="G30" s="9" t="str">
        <f>IF(A30="","",설정!$B$10)</f>
        <v/>
      </c>
      <c r="H30" s="5" t="str">
        <f>IF(A30="","",설정!$B$11)</f>
        <v/>
      </c>
      <c r="I30" s="43"/>
      <c r="J30" s="44"/>
      <c r="K30" s="11"/>
      <c r="L30" s="7"/>
      <c r="M30" s="4"/>
      <c r="N30" s="7"/>
      <c r="O30" s="7"/>
      <c r="P30" s="7"/>
      <c r="Q30" s="4"/>
      <c r="R30" s="15"/>
      <c r="S30" s="11"/>
      <c r="T30" s="7"/>
      <c r="U30" s="4"/>
      <c r="V30" s="7"/>
      <c r="W30" s="7"/>
      <c r="X30" s="7"/>
      <c r="Y30" s="4"/>
      <c r="Z30" s="15"/>
    </row>
    <row r="31" spans="1:26">
      <c r="A31" s="4"/>
      <c r="B31" s="4"/>
      <c r="C31" s="9" t="str">
        <f>IF(A31="","",MIN(1,설정!$B$8+IF(B31="백어택",설정!$B$5,IF(B31="헤드어택",설정!$B$7,0))))</f>
        <v/>
      </c>
      <c r="D31" s="10" t="str">
        <f>IF(A31="","",MAX(1,설정!$B$9-IF(설정!$B$21="채용",설정!$B$22,0)))</f>
        <v/>
      </c>
      <c r="E31" s="34"/>
      <c r="F31" s="35" t="str">
        <f>IF(A31="","",D31+IFERROR(E31,0)+IF(설정!$B$21="채용",설정!$B$22,0))</f>
        <v/>
      </c>
      <c r="G31" s="9" t="str">
        <f>IF(A31="","",설정!$B$10)</f>
        <v/>
      </c>
      <c r="H31" s="5" t="str">
        <f>IF(A31="","",설정!$B$11)</f>
        <v/>
      </c>
      <c r="I31" s="43"/>
      <c r="J31" s="44"/>
      <c r="K31" s="11"/>
      <c r="L31" s="7"/>
      <c r="M31" s="4"/>
      <c r="N31" s="7"/>
      <c r="O31" s="7"/>
      <c r="P31" s="7"/>
      <c r="Q31" s="4"/>
      <c r="R31" s="15"/>
      <c r="S31" s="11"/>
      <c r="T31" s="7"/>
      <c r="U31" s="4"/>
      <c r="V31" s="7"/>
      <c r="W31" s="7"/>
      <c r="X31" s="7"/>
      <c r="Y31" s="4"/>
      <c r="Z31" s="15"/>
    </row>
    <row r="32" spans="1:26">
      <c r="A32" s="4"/>
      <c r="B32" s="4"/>
      <c r="C32" s="9" t="str">
        <f>IF(A32="","",MIN(1,설정!$B$8+IF(B32="백어택",설정!$B$5,IF(B32="헤드어택",설정!$B$7,0))))</f>
        <v/>
      </c>
      <c r="D32" s="10" t="str">
        <f>IF(A32="","",MAX(1,설정!$B$9-IF(설정!$B$21="채용",설정!$B$22,0)))</f>
        <v/>
      </c>
      <c r="E32" s="34"/>
      <c r="F32" s="35" t="str">
        <f>IF(A32="","",D32+IFERROR(E32,0)+IF(설정!$B$21="채용",설정!$B$22,0))</f>
        <v/>
      </c>
      <c r="G32" s="9" t="str">
        <f>IF(A32="","",설정!$B$10)</f>
        <v/>
      </c>
      <c r="H32" s="5" t="str">
        <f>IF(A32="","",설정!$B$11)</f>
        <v/>
      </c>
      <c r="I32" s="43"/>
      <c r="J32" s="44"/>
      <c r="K32" s="11"/>
      <c r="L32" s="7"/>
      <c r="M32" s="4"/>
      <c r="N32" s="7"/>
      <c r="O32" s="7"/>
      <c r="P32" s="7"/>
      <c r="Q32" s="4"/>
      <c r="R32" s="15"/>
      <c r="S32" s="11"/>
      <c r="T32" s="7"/>
      <c r="U32" s="4"/>
      <c r="V32" s="7"/>
      <c r="W32" s="7"/>
      <c r="X32" s="7"/>
      <c r="Y32" s="4"/>
      <c r="Z32" s="15"/>
    </row>
    <row r="33" spans="1:26">
      <c r="A33" s="4"/>
      <c r="B33" s="4"/>
      <c r="C33" s="9" t="str">
        <f>IF(A33="","",MIN(1,설정!$B$8+IF(B33="백어택",설정!$B$5,IF(B33="헤드어택",설정!$B$7,0))))</f>
        <v/>
      </c>
      <c r="D33" s="10" t="str">
        <f>IF(A33="","",MAX(1,설정!$B$9-IF(설정!$B$21="채용",설정!$B$22,0)))</f>
        <v/>
      </c>
      <c r="E33" s="34"/>
      <c r="F33" s="35" t="str">
        <f>IF(A33="","",D33+IFERROR(E33,0)+IF(설정!$B$21="채용",설정!$B$22,0))</f>
        <v/>
      </c>
      <c r="G33" s="9" t="str">
        <f>IF(A33="","",설정!$B$10)</f>
        <v/>
      </c>
      <c r="H33" s="5" t="str">
        <f>IF(A33="","",설정!$B$11)</f>
        <v/>
      </c>
      <c r="I33" s="43"/>
      <c r="J33" s="44"/>
      <c r="K33" s="11"/>
      <c r="L33" s="7"/>
      <c r="M33" s="4"/>
      <c r="N33" s="7"/>
      <c r="O33" s="7"/>
      <c r="P33" s="7"/>
      <c r="Q33" s="4"/>
      <c r="R33" s="15"/>
      <c r="S33" s="11"/>
      <c r="T33" s="7"/>
      <c r="U33" s="4"/>
      <c r="V33" s="7"/>
      <c r="W33" s="7"/>
      <c r="X33" s="7"/>
      <c r="Y33" s="4"/>
      <c r="Z33" s="15"/>
    </row>
    <row r="34" spans="1:26">
      <c r="A34" s="4"/>
      <c r="B34" s="4"/>
      <c r="C34" s="9" t="str">
        <f>IF(A34="","",MIN(1,설정!$B$8+IF(B34="백어택",설정!$B$5,IF(B34="헤드어택",설정!$B$7,0))))</f>
        <v/>
      </c>
      <c r="D34" s="10" t="str">
        <f>IF(A34="","",MAX(1,설정!$B$9-IF(설정!$B$21="채용",설정!$B$22,0)))</f>
        <v/>
      </c>
      <c r="E34" s="34"/>
      <c r="F34" s="35" t="str">
        <f>IF(A34="","",D34+IFERROR(E34,0)+IF(설정!$B$21="채용",설정!$B$22,0))</f>
        <v/>
      </c>
      <c r="G34" s="9" t="str">
        <f>IF(A34="","",설정!$B$10)</f>
        <v/>
      </c>
      <c r="H34" s="5" t="str">
        <f>IF(A34="","",설정!$B$11)</f>
        <v/>
      </c>
      <c r="I34" s="43"/>
      <c r="J34" s="44"/>
      <c r="K34" s="11"/>
      <c r="L34" s="7"/>
      <c r="M34" s="4"/>
      <c r="N34" s="7"/>
      <c r="O34" s="7"/>
      <c r="P34" s="7"/>
      <c r="Q34" s="4"/>
      <c r="R34" s="15"/>
      <c r="S34" s="11"/>
      <c r="T34" s="7"/>
      <c r="U34" s="4"/>
      <c r="V34" s="7"/>
      <c r="W34" s="7"/>
      <c r="X34" s="7"/>
      <c r="Y34" s="4"/>
      <c r="Z34" s="15"/>
    </row>
    <row r="35" spans="1:26">
      <c r="A35" s="4"/>
      <c r="B35" s="4"/>
      <c r="C35" s="9" t="str">
        <f>IF(A35="","",MIN(1,설정!$B$8+IF(B35="백어택",설정!$B$5,IF(B35="헤드어택",설정!$B$7,0))))</f>
        <v/>
      </c>
      <c r="D35" s="10" t="str">
        <f>IF(A35="","",MAX(1,설정!$B$9-IF(설정!$B$21="채용",설정!$B$22,0)))</f>
        <v/>
      </c>
      <c r="E35" s="34"/>
      <c r="F35" s="35" t="str">
        <f>IF(A35="","",D35+IFERROR(E35,0)+IF(설정!$B$21="채용",설정!$B$22,0))</f>
        <v/>
      </c>
      <c r="G35" s="9" t="str">
        <f>IF(A35="","",설정!$B$10)</f>
        <v/>
      </c>
      <c r="H35" s="5" t="str">
        <f>IF(A35="","",설정!$B$11)</f>
        <v/>
      </c>
      <c r="I35" s="43"/>
      <c r="J35" s="44"/>
      <c r="K35" s="11"/>
      <c r="L35" s="7"/>
      <c r="M35" s="4"/>
      <c r="N35" s="7"/>
      <c r="O35" s="7"/>
      <c r="P35" s="7"/>
      <c r="Q35" s="4"/>
      <c r="R35" s="15"/>
      <c r="S35" s="11"/>
      <c r="T35" s="7"/>
      <c r="U35" s="4"/>
      <c r="V35" s="7"/>
      <c r="W35" s="7"/>
      <c r="X35" s="7"/>
      <c r="Y35" s="4"/>
      <c r="Z35" s="15"/>
    </row>
    <row r="36" spans="1:26">
      <c r="A36" s="4"/>
      <c r="B36" s="4"/>
      <c r="C36" s="9" t="str">
        <f>IF(A36="","",MIN(1,설정!$B$8+IF(B36="백어택",설정!$B$5,IF(B36="헤드어택",설정!$B$7,0))))</f>
        <v/>
      </c>
      <c r="D36" s="10" t="str">
        <f>IF(A36="","",MAX(1,설정!$B$9-IF(설정!$B$21="채용",설정!$B$22,0)))</f>
        <v/>
      </c>
      <c r="E36" s="34"/>
      <c r="F36" s="35" t="str">
        <f>IF(A36="","",D36+IFERROR(E36,0)+IF(설정!$B$21="채용",설정!$B$22,0))</f>
        <v/>
      </c>
      <c r="G36" s="9" t="str">
        <f>IF(A36="","",설정!$B$10)</f>
        <v/>
      </c>
      <c r="H36" s="5" t="str">
        <f>IF(A36="","",설정!$B$11)</f>
        <v/>
      </c>
      <c r="I36" s="43"/>
      <c r="J36" s="44"/>
      <c r="K36" s="11"/>
      <c r="L36" s="7"/>
      <c r="M36" s="4"/>
      <c r="N36" s="7"/>
      <c r="O36" s="7"/>
      <c r="P36" s="7"/>
      <c r="Q36" s="4"/>
      <c r="R36" s="15"/>
      <c r="S36" s="11"/>
      <c r="T36" s="7"/>
      <c r="U36" s="4"/>
      <c r="V36" s="7"/>
      <c r="W36" s="7"/>
      <c r="X36" s="7"/>
      <c r="Y36" s="4"/>
      <c r="Z36" s="15"/>
    </row>
    <row r="37" spans="1:26">
      <c r="A37" s="4"/>
      <c r="B37" s="4"/>
      <c r="C37" s="9" t="str">
        <f>IF(A37="","",MIN(1,설정!$B$8+IF(B37="백어택",설정!$B$5,IF(B37="헤드어택",설정!$B$7,0))))</f>
        <v/>
      </c>
      <c r="D37" s="10" t="str">
        <f>IF(A37="","",MAX(1,설정!$B$9-IF(설정!$B$21="채용",설정!$B$22,0)))</f>
        <v/>
      </c>
      <c r="E37" s="34"/>
      <c r="F37" s="35" t="str">
        <f>IF(A37="","",D37+IFERROR(E37,0)+IF(설정!$B$21="채용",설정!$B$22,0))</f>
        <v/>
      </c>
      <c r="G37" s="9" t="str">
        <f>IF(A37="","",설정!$B$10)</f>
        <v/>
      </c>
      <c r="H37" s="5" t="str">
        <f>IF(A37="","",설정!$B$11)</f>
        <v/>
      </c>
      <c r="I37" s="43"/>
      <c r="J37" s="44"/>
      <c r="K37" s="11"/>
      <c r="L37" s="7"/>
      <c r="M37" s="4"/>
      <c r="N37" s="7"/>
      <c r="O37" s="7"/>
      <c r="P37" s="7"/>
      <c r="Q37" s="4"/>
      <c r="R37" s="15"/>
      <c r="S37" s="11"/>
      <c r="T37" s="7"/>
      <c r="U37" s="4"/>
      <c r="V37" s="7"/>
      <c r="W37" s="7"/>
      <c r="X37" s="7"/>
      <c r="Y37" s="4"/>
      <c r="Z37" s="15"/>
    </row>
    <row r="38" spans="1:26">
      <c r="A38" s="4"/>
      <c r="B38" s="4"/>
      <c r="C38" s="9" t="str">
        <f>IF(A38="","",MIN(1,설정!$B$8+IF(B38="백어택",설정!$B$5,IF(B38="헤드어택",설정!$B$7,0))))</f>
        <v/>
      </c>
      <c r="D38" s="10" t="str">
        <f>IF(A38="","",MAX(1,설정!$B$9-IF(설정!$B$21="채용",설정!$B$22,0)))</f>
        <v/>
      </c>
      <c r="E38" s="34"/>
      <c r="F38" s="35" t="str">
        <f>IF(A38="","",D38+IFERROR(E38,0)+IF(설정!$B$21="채용",설정!$B$22,0))</f>
        <v/>
      </c>
      <c r="G38" s="9" t="str">
        <f>IF(A38="","",설정!$B$10)</f>
        <v/>
      </c>
      <c r="H38" s="5" t="str">
        <f>IF(A38="","",설정!$B$11)</f>
        <v/>
      </c>
      <c r="I38" s="43"/>
      <c r="J38" s="44"/>
      <c r="K38" s="11"/>
      <c r="L38" s="7"/>
      <c r="M38" s="4"/>
      <c r="N38" s="7"/>
      <c r="O38" s="7"/>
      <c r="P38" s="7"/>
      <c r="Q38" s="4"/>
      <c r="R38" s="15"/>
      <c r="S38" s="11"/>
      <c r="T38" s="7"/>
      <c r="U38" s="4"/>
      <c r="V38" s="7"/>
      <c r="W38" s="7"/>
      <c r="X38" s="7"/>
      <c r="Y38" s="4"/>
      <c r="Z38" s="15"/>
    </row>
    <row r="39" spans="1:26">
      <c r="A39" s="4"/>
      <c r="B39" s="4"/>
      <c r="C39" s="9" t="str">
        <f>IF(A39="","",MIN(1,설정!$B$8+IF(B39="백어택",설정!$B$5,IF(B39="헤드어택",설정!$B$7,0))))</f>
        <v/>
      </c>
      <c r="D39" s="10" t="str">
        <f>IF(A39="","",MAX(1,설정!$B$9-IF(설정!$B$21="채용",설정!$B$22,0)))</f>
        <v/>
      </c>
      <c r="E39" s="34"/>
      <c r="F39" s="35" t="str">
        <f>IF(A39="","",D39+IFERROR(E39,0)+IF(설정!$B$21="채용",설정!$B$22,0))</f>
        <v/>
      </c>
      <c r="G39" s="9" t="str">
        <f>IF(A39="","",설정!$B$10)</f>
        <v/>
      </c>
      <c r="H39" s="5" t="str">
        <f>IF(A39="","",설정!$B$11)</f>
        <v/>
      </c>
      <c r="I39" s="43"/>
      <c r="J39" s="44"/>
      <c r="K39" s="11"/>
      <c r="L39" s="7"/>
      <c r="M39" s="4"/>
      <c r="N39" s="7"/>
      <c r="O39" s="7"/>
      <c r="P39" s="7"/>
      <c r="Q39" s="4"/>
      <c r="R39" s="15"/>
      <c r="S39" s="11"/>
      <c r="T39" s="7"/>
      <c r="U39" s="4"/>
      <c r="V39" s="7"/>
      <c r="W39" s="7"/>
      <c r="X39" s="7"/>
      <c r="Y39" s="4"/>
      <c r="Z39" s="15"/>
    </row>
    <row r="40" spans="1:26">
      <c r="A40" s="4"/>
      <c r="B40" s="4"/>
      <c r="C40" s="9" t="str">
        <f>IF(A40="","",MIN(1,설정!$B$8+IF(B40="백어택",설정!$B$5,IF(B40="헤드어택",설정!$B$7,0))))</f>
        <v/>
      </c>
      <c r="D40" s="10" t="str">
        <f>IF(A40="","",MAX(1,설정!$B$9-IF(설정!$B$21="채용",설정!$B$22,0)))</f>
        <v/>
      </c>
      <c r="E40" s="34"/>
      <c r="F40" s="35" t="str">
        <f>IF(A40="","",D40+IFERROR(E40,0)+IF(설정!$B$21="채용",설정!$B$22,0))</f>
        <v/>
      </c>
      <c r="G40" s="9" t="str">
        <f>IF(A40="","",설정!$B$10)</f>
        <v/>
      </c>
      <c r="H40" s="5" t="str">
        <f>IF(A40="","",설정!$B$11)</f>
        <v/>
      </c>
      <c r="I40" s="43"/>
      <c r="J40" s="44"/>
      <c r="K40" s="11"/>
      <c r="L40" s="7"/>
      <c r="M40" s="4"/>
      <c r="N40" s="7"/>
      <c r="O40" s="7"/>
      <c r="P40" s="7"/>
      <c r="Q40" s="4"/>
      <c r="R40" s="15"/>
      <c r="S40" s="11"/>
      <c r="T40" s="7"/>
      <c r="U40" s="4"/>
      <c r="V40" s="7"/>
      <c r="W40" s="7"/>
      <c r="X40" s="7"/>
      <c r="Y40" s="4"/>
      <c r="Z40" s="15"/>
    </row>
    <row r="41" spans="1:26">
      <c r="A41" s="4"/>
      <c r="B41" s="4"/>
      <c r="C41" s="9" t="str">
        <f>IF(A41="","",MIN(1,설정!$B$8+IF(B41="백어택",설정!$B$5,IF(B41="헤드어택",설정!$B$7,0))))</f>
        <v/>
      </c>
      <c r="D41" s="10" t="str">
        <f>IF(A41="","",MAX(1,설정!$B$9-IF(설정!$B$21="채용",설정!$B$22,0)))</f>
        <v/>
      </c>
      <c r="E41" s="34"/>
      <c r="F41" s="35" t="str">
        <f>IF(A41="","",D41+IFERROR(E41,0)+IF(설정!$B$21="채용",설정!$B$22,0))</f>
        <v/>
      </c>
      <c r="G41" s="9" t="str">
        <f>IF(A41="","",설정!$B$10)</f>
        <v/>
      </c>
      <c r="H41" s="5" t="str">
        <f>IF(A41="","",설정!$B$11)</f>
        <v/>
      </c>
      <c r="I41" s="43"/>
      <c r="J41" s="44"/>
      <c r="K41" s="11"/>
      <c r="L41" s="7"/>
      <c r="M41" s="4"/>
      <c r="N41" s="7"/>
      <c r="O41" s="7"/>
      <c r="P41" s="7"/>
      <c r="Q41" s="4"/>
      <c r="R41" s="15"/>
      <c r="S41" s="11"/>
      <c r="T41" s="7"/>
      <c r="U41" s="4"/>
      <c r="V41" s="7"/>
      <c r="W41" s="7"/>
      <c r="X41" s="7"/>
      <c r="Y41" s="4"/>
      <c r="Z41" s="15"/>
    </row>
    <row r="42" spans="1:26">
      <c r="A42" s="4"/>
      <c r="B42" s="4"/>
      <c r="C42" s="9" t="str">
        <f>IF(A42="","",MIN(1,설정!$B$8+IF(B42="백어택",설정!$B$5,IF(B42="헤드어택",설정!$B$7,0))))</f>
        <v/>
      </c>
      <c r="D42" s="10" t="str">
        <f>IF(A42="","",MAX(1,설정!$B$9-IF(설정!$B$21="채용",설정!$B$22,0)))</f>
        <v/>
      </c>
      <c r="E42" s="34"/>
      <c r="F42" s="35" t="str">
        <f>IF(A42="","",D42+IFERROR(E42,0)+IF(설정!$B$21="채용",설정!$B$22,0))</f>
        <v/>
      </c>
      <c r="G42" s="9" t="str">
        <f>IF(A42="","",설정!$B$10)</f>
        <v/>
      </c>
      <c r="H42" s="5" t="str">
        <f>IF(A42="","",설정!$B$11)</f>
        <v/>
      </c>
      <c r="I42" s="43"/>
      <c r="J42" s="44"/>
      <c r="K42" s="11"/>
      <c r="L42" s="7"/>
      <c r="M42" s="4"/>
      <c r="N42" s="7"/>
      <c r="O42" s="7"/>
      <c r="P42" s="7"/>
      <c r="Q42" s="4"/>
      <c r="R42" s="15"/>
      <c r="S42" s="11"/>
      <c r="T42" s="7"/>
      <c r="U42" s="4"/>
      <c r="V42" s="7"/>
      <c r="W42" s="7"/>
      <c r="X42" s="7"/>
      <c r="Y42" s="4"/>
      <c r="Z42" s="15"/>
    </row>
    <row r="43" spans="1:26">
      <c r="A43" s="4"/>
      <c r="B43" s="4"/>
      <c r="C43" s="9" t="str">
        <f>IF(A43="","",MIN(1,설정!$B$8+IF(B43="백어택",설정!$B$5,IF(B43="헤드어택",설정!$B$7,0))))</f>
        <v/>
      </c>
      <c r="D43" s="10" t="str">
        <f>IF(A43="","",MAX(1,설정!$B$9-IF(설정!$B$21="채용",설정!$B$22,0)))</f>
        <v/>
      </c>
      <c r="E43" s="34"/>
      <c r="F43" s="35" t="str">
        <f>IF(A43="","",D43+IFERROR(E43,0)+IF(설정!$B$21="채용",설정!$B$22,0))</f>
        <v/>
      </c>
      <c r="G43" s="9" t="str">
        <f>IF(A43="","",설정!$B$10)</f>
        <v/>
      </c>
      <c r="H43" s="5" t="str">
        <f>IF(A43="","",설정!$B$11)</f>
        <v/>
      </c>
      <c r="I43" s="43"/>
      <c r="J43" s="44"/>
      <c r="K43" s="11"/>
      <c r="L43" s="7"/>
      <c r="M43" s="4"/>
      <c r="N43" s="7"/>
      <c r="O43" s="7"/>
      <c r="P43" s="7"/>
      <c r="Q43" s="4"/>
      <c r="R43" s="15"/>
      <c r="S43" s="11"/>
      <c r="T43" s="7"/>
      <c r="U43" s="4"/>
      <c r="V43" s="7"/>
      <c r="W43" s="7"/>
      <c r="X43" s="7"/>
      <c r="Y43" s="4"/>
      <c r="Z43" s="15"/>
    </row>
    <row r="44" spans="1:26">
      <c r="A44" s="4"/>
      <c r="B44" s="4"/>
      <c r="C44" s="9" t="str">
        <f>IF(A44="","",MIN(1,설정!$B$8+IF(B44="백어택",설정!$B$5,IF(B44="헤드어택",설정!$B$7,0))))</f>
        <v/>
      </c>
      <c r="D44" s="10" t="str">
        <f>IF(A44="","",MAX(1,설정!$B$9-IF(설정!$B$21="채용",설정!$B$22,0)))</f>
        <v/>
      </c>
      <c r="E44" s="34"/>
      <c r="F44" s="35" t="str">
        <f>IF(A44="","",D44+IFERROR(E44,0)+IF(설정!$B$21="채용",설정!$B$22,0))</f>
        <v/>
      </c>
      <c r="G44" s="9" t="str">
        <f>IF(A44="","",설정!$B$10)</f>
        <v/>
      </c>
      <c r="H44" s="5" t="str">
        <f>IF(A44="","",설정!$B$11)</f>
        <v/>
      </c>
      <c r="I44" s="43"/>
      <c r="J44" s="44"/>
      <c r="K44" s="11"/>
      <c r="L44" s="7"/>
      <c r="M44" s="4"/>
      <c r="N44" s="7"/>
      <c r="O44" s="7"/>
      <c r="P44" s="7"/>
      <c r="Q44" s="4"/>
      <c r="R44" s="15"/>
      <c r="S44" s="11"/>
      <c r="T44" s="7"/>
      <c r="U44" s="4"/>
      <c r="V44" s="7"/>
      <c r="W44" s="7"/>
      <c r="X44" s="7"/>
      <c r="Y44" s="4"/>
      <c r="Z44" s="15"/>
    </row>
    <row r="45" spans="1:26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</sheetData>
  <mergeCells count="4">
    <mergeCell ref="A1:Y1"/>
    <mergeCell ref="A3:I3"/>
    <mergeCell ref="K3:Q3"/>
    <mergeCell ref="S3:Y3"/>
  </mergeCells>
  <phoneticPr fontId="5" type="noConversion"/>
  <dataValidations count="2">
    <dataValidation type="list" sqref="B5:B44" xr:uid="{00000000-0002-0000-0100-000000000000}">
      <formula1>"백어택,헤드어택,없음"</formula1>
    </dataValidation>
    <dataValidation type="list" sqref="I5:I44" xr:uid="{00000000-0002-0000-0100-000001000000}">
      <formula1>"주딜기,아덴 핵심기,아덴수급기,보조딜,이동/카운터,룬/기타"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97"/>
  <sheetViews>
    <sheetView workbookViewId="0">
      <selection activeCell="B21" sqref="B21"/>
    </sheetView>
  </sheetViews>
  <sheetFormatPr defaultRowHeight="14.25"/>
  <cols>
    <col min="1" max="1" width="23.625" customWidth="1"/>
    <col min="2" max="2" width="8.625" customWidth="1"/>
    <col min="3" max="3" width="56" customWidth="1"/>
    <col min="4" max="4" width="8.25" customWidth="1"/>
    <col min="6" max="6" width="13.75" customWidth="1"/>
    <col min="7" max="7" width="12.375" customWidth="1"/>
  </cols>
  <sheetData>
    <row r="1" spans="1:26" ht="18">
      <c r="A1" s="55" t="s">
        <v>47</v>
      </c>
      <c r="B1" s="55"/>
      <c r="C1" s="55"/>
      <c r="D1" s="5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30">
      <c r="A3" s="3" t="s">
        <v>48</v>
      </c>
      <c r="B3" s="3" t="s">
        <v>49</v>
      </c>
      <c r="C3" s="3" t="s">
        <v>50</v>
      </c>
      <c r="D3" s="3" t="s">
        <v>51</v>
      </c>
      <c r="E3" s="15"/>
      <c r="F3" s="3" t="s">
        <v>52</v>
      </c>
      <c r="G3" s="3" t="s">
        <v>53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">
      <c r="A4" s="6" t="s">
        <v>54</v>
      </c>
      <c r="B4" s="7">
        <v>0.05</v>
      </c>
      <c r="C4" s="2" t="s">
        <v>55</v>
      </c>
      <c r="D4" s="15" t="s">
        <v>56</v>
      </c>
      <c r="E4" s="15"/>
      <c r="F4" s="16" t="s">
        <v>36</v>
      </c>
      <c r="G4" s="17">
        <v>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">
      <c r="A5" s="6" t="s">
        <v>57</v>
      </c>
      <c r="B5" s="7">
        <v>0.1</v>
      </c>
      <c r="C5" s="2" t="s">
        <v>58</v>
      </c>
      <c r="D5" s="15" t="s">
        <v>56</v>
      </c>
      <c r="E5" s="15"/>
      <c r="F5" s="16" t="s">
        <v>59</v>
      </c>
      <c r="G5" s="17" t="s">
        <v>60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>
      <c r="A6" s="6" t="s">
        <v>61</v>
      </c>
      <c r="B6" s="7">
        <v>0.2</v>
      </c>
      <c r="C6" s="2" t="s">
        <v>62</v>
      </c>
      <c r="D6" s="15" t="s">
        <v>56</v>
      </c>
      <c r="E6" s="15"/>
      <c r="F6" s="16" t="s">
        <v>63</v>
      </c>
      <c r="G6" s="17">
        <v>0.24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>
      <c r="A7" s="6" t="s">
        <v>64</v>
      </c>
      <c r="B7" s="7">
        <v>0</v>
      </c>
      <c r="C7" s="2" t="s">
        <v>65</v>
      </c>
      <c r="D7" s="15" t="s">
        <v>56</v>
      </c>
      <c r="E7" s="15"/>
      <c r="F7" s="16" t="s">
        <v>66</v>
      </c>
      <c r="G7" s="17">
        <v>0.18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>
      <c r="A8" s="6" t="s">
        <v>67</v>
      </c>
      <c r="B8" s="7">
        <v>0.9</v>
      </c>
      <c r="C8" s="2" t="s">
        <v>68</v>
      </c>
      <c r="D8" s="15" t="s">
        <v>69</v>
      </c>
      <c r="E8" s="15"/>
      <c r="F8" s="16" t="s">
        <v>70</v>
      </c>
      <c r="G8" s="17">
        <v>0.21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>
      <c r="A9" s="6" t="s">
        <v>71</v>
      </c>
      <c r="B9" s="8">
        <v>2.6</v>
      </c>
      <c r="C9" s="2" t="s">
        <v>72</v>
      </c>
      <c r="D9" s="15" t="s">
        <v>69</v>
      </c>
      <c r="E9" s="15"/>
      <c r="F9" s="16" t="s">
        <v>73</v>
      </c>
      <c r="G9" s="17">
        <v>0.24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">
      <c r="A10" s="6" t="s">
        <v>74</v>
      </c>
      <c r="B10" s="7">
        <v>0.5</v>
      </c>
      <c r="C10" s="2" t="s">
        <v>75</v>
      </c>
      <c r="D10" s="15" t="s">
        <v>69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">
      <c r="A11" s="6" t="s">
        <v>76</v>
      </c>
      <c r="B11" s="4" t="s">
        <v>63</v>
      </c>
      <c r="C11" s="2" t="s">
        <v>77</v>
      </c>
      <c r="D11" s="15" t="s">
        <v>69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">
      <c r="A12" s="6" t="s">
        <v>78</v>
      </c>
      <c r="B12" s="9">
        <f>IF(B11="뭉툭한가시",0,IFERROR(VLOOKUP(B11,$F$4:$G$9,2,FALSE),0))</f>
        <v>0.24</v>
      </c>
      <c r="C12" s="2" t="s">
        <v>79</v>
      </c>
      <c r="D12" s="15" t="s">
        <v>80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">
      <c r="A13" s="6" t="s">
        <v>81</v>
      </c>
      <c r="B13" s="51">
        <v>0.8</v>
      </c>
      <c r="C13" s="2" t="s">
        <v>82</v>
      </c>
      <c r="D13" s="15" t="s">
        <v>83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">
      <c r="A14" s="6" t="s">
        <v>84</v>
      </c>
      <c r="B14" s="51">
        <v>0.75</v>
      </c>
      <c r="C14" s="2" t="s">
        <v>85</v>
      </c>
      <c r="D14" s="15" t="s">
        <v>56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">
      <c r="A15" s="6" t="s">
        <v>86</v>
      </c>
      <c r="B15" s="51">
        <v>1.2</v>
      </c>
      <c r="C15" s="2" t="s">
        <v>87</v>
      </c>
      <c r="D15" s="15" t="s">
        <v>56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>
      <c r="A16" s="6" t="s">
        <v>88</v>
      </c>
      <c r="B16" s="51">
        <v>0.8</v>
      </c>
      <c r="C16" s="2" t="s">
        <v>89</v>
      </c>
      <c r="D16" s="15" t="s">
        <v>56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">
      <c r="A17" s="6" t="s">
        <v>90</v>
      </c>
      <c r="B17" s="52" t="s">
        <v>91</v>
      </c>
      <c r="C17" s="2" t="s">
        <v>92</v>
      </c>
      <c r="D17" s="15" t="s">
        <v>56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">
      <c r="A18" s="6" t="s">
        <v>93</v>
      </c>
      <c r="B18" s="7">
        <v>0.05</v>
      </c>
      <c r="C18" s="2" t="s">
        <v>94</v>
      </c>
      <c r="D18" s="15" t="s">
        <v>69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">
      <c r="A20" s="37" t="s">
        <v>95</v>
      </c>
      <c r="B20" s="37"/>
      <c r="C20" s="37"/>
      <c r="D20" s="37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8.5">
      <c r="A21" s="38" t="s">
        <v>96</v>
      </c>
      <c r="B21" s="39" t="s">
        <v>97</v>
      </c>
      <c r="C21" s="36" t="s">
        <v>98</v>
      </c>
      <c r="D21" s="36" t="s">
        <v>69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">
      <c r="A22" s="38" t="s">
        <v>99</v>
      </c>
      <c r="B22" s="40">
        <v>0.52</v>
      </c>
      <c r="C22" s="36" t="s">
        <v>100</v>
      </c>
      <c r="D22" s="36" t="s">
        <v>69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">
      <c r="A23" s="38" t="s">
        <v>101</v>
      </c>
      <c r="B23" s="53">
        <v>0.1</v>
      </c>
      <c r="C23" s="36" t="s">
        <v>102</v>
      </c>
      <c r="D23" s="36" t="s">
        <v>69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">
      <c r="A24" s="38" t="s">
        <v>103</v>
      </c>
      <c r="B24" s="53">
        <v>0.2</v>
      </c>
      <c r="C24" s="36" t="s">
        <v>102</v>
      </c>
      <c r="D24" s="36" t="s">
        <v>69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">
      <c r="A25" s="38" t="s">
        <v>104</v>
      </c>
      <c r="B25" s="41">
        <f>IF($B$21="채용",1-$B$23*$B$24,1)</f>
        <v>1</v>
      </c>
      <c r="C25" s="36" t="s">
        <v>105</v>
      </c>
      <c r="D25" s="36" t="s">
        <v>80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">
      <c r="A26" s="38" t="s">
        <v>106</v>
      </c>
      <c r="B26" s="41">
        <f>IF($B$21="채용",MAX(1,$B$9-$B$22),$B$9)</f>
        <v>2.6</v>
      </c>
      <c r="C26" s="36" t="s">
        <v>107</v>
      </c>
      <c r="D26" s="36" t="s">
        <v>80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14">
      <c r="A27" s="38" t="s">
        <v>108</v>
      </c>
      <c r="B27" s="36" t="s">
        <v>109</v>
      </c>
      <c r="C27" s="36" t="s">
        <v>110</v>
      </c>
      <c r="D27" s="36" t="s">
        <v>111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</sheetData>
  <mergeCells count="1">
    <mergeCell ref="A1:D1"/>
  </mergeCells>
  <phoneticPr fontId="5" type="noConversion"/>
  <dataValidations count="2">
    <dataValidation type="list" sqref="B11" xr:uid="{00000000-0002-0000-0200-000000000000}">
      <formula1>$F$4:$F$9</formula1>
    </dataValidation>
    <dataValidation type="list" sqref="B21" xr:uid="{00000000-0002-0000-0200-000001000000}">
      <formula1>"미사용,채용"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200"/>
  <sheetViews>
    <sheetView workbookViewId="0">
      <selection sqref="A1:AX1"/>
    </sheetView>
  </sheetViews>
  <sheetFormatPr defaultRowHeight="14.25"/>
  <cols>
    <col min="1" max="1" width="18" customWidth="1"/>
    <col min="2" max="2" width="7.875" customWidth="1"/>
    <col min="3" max="5" width="11" customWidth="1"/>
    <col min="6" max="6" width="7.875" customWidth="1"/>
    <col min="7" max="7" width="7" customWidth="1"/>
    <col min="8" max="9" width="7.875" customWidth="1"/>
    <col min="10" max="10" width="7.625" customWidth="1"/>
    <col min="11" max="11" width="11.5" customWidth="1"/>
    <col min="12" max="12" width="9.75" customWidth="1"/>
    <col min="13" max="14" width="7.875" customWidth="1"/>
    <col min="15" max="15" width="7.625" customWidth="1"/>
    <col min="16" max="16" width="11.5" customWidth="1"/>
    <col min="17" max="17" width="9.75" customWidth="1"/>
    <col min="18" max="19" width="15.625" customWidth="1"/>
    <col min="20" max="21" width="12" customWidth="1"/>
    <col min="22" max="23" width="10.125" customWidth="1"/>
    <col min="24" max="25" width="11.5" customWidth="1"/>
    <col min="26" max="27" width="13.375" customWidth="1"/>
    <col min="28" max="31" width="15.625" customWidth="1"/>
    <col min="32" max="35" width="12" customWidth="1"/>
    <col min="36" max="37" width="12.875" customWidth="1"/>
    <col min="38" max="39" width="12" customWidth="1"/>
    <col min="40" max="40" width="13.375" customWidth="1"/>
    <col min="41" max="41" width="17.5" customWidth="1"/>
    <col min="42" max="43" width="12.75" customWidth="1"/>
    <col min="44" max="45" width="17.875" customWidth="1"/>
    <col min="46" max="46" width="10.25" customWidth="1"/>
    <col min="47" max="47" width="15.25" customWidth="1"/>
    <col min="48" max="48" width="20.125" customWidth="1"/>
    <col min="49" max="49" width="7.875" customWidth="1"/>
    <col min="50" max="50" width="18" customWidth="1"/>
  </cols>
  <sheetData>
    <row r="1" spans="1:50" ht="18">
      <c r="A1" s="55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</row>
    <row r="2" spans="1:50">
      <c r="A2" s="56" t="s">
        <v>113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</row>
    <row r="3" spans="1:50" ht="60">
      <c r="A3" s="3" t="s">
        <v>8</v>
      </c>
      <c r="B3" s="3" t="s">
        <v>9</v>
      </c>
      <c r="C3" s="3" t="s">
        <v>114</v>
      </c>
      <c r="D3" s="3" t="s">
        <v>115</v>
      </c>
      <c r="E3" s="3" t="s">
        <v>116</v>
      </c>
      <c r="F3" s="3" t="s">
        <v>117</v>
      </c>
      <c r="G3" s="3" t="s">
        <v>118</v>
      </c>
      <c r="H3" s="3" t="s">
        <v>119</v>
      </c>
      <c r="I3" s="3" t="s">
        <v>120</v>
      </c>
      <c r="J3" s="3" t="s">
        <v>121</v>
      </c>
      <c r="K3" s="3" t="s">
        <v>122</v>
      </c>
      <c r="L3" s="3" t="s">
        <v>123</v>
      </c>
      <c r="M3" s="3" t="s">
        <v>124</v>
      </c>
      <c r="N3" s="3" t="s">
        <v>125</v>
      </c>
      <c r="O3" s="3" t="s">
        <v>126</v>
      </c>
      <c r="P3" s="3" t="s">
        <v>127</v>
      </c>
      <c r="Q3" s="3" t="s">
        <v>128</v>
      </c>
      <c r="R3" s="3" t="s">
        <v>129</v>
      </c>
      <c r="S3" s="3" t="s">
        <v>130</v>
      </c>
      <c r="T3" s="3" t="s">
        <v>131</v>
      </c>
      <c r="U3" s="3" t="s">
        <v>132</v>
      </c>
      <c r="V3" s="3" t="s">
        <v>133</v>
      </c>
      <c r="W3" s="3" t="s">
        <v>134</v>
      </c>
      <c r="X3" s="3" t="s">
        <v>135</v>
      </c>
      <c r="Y3" s="3" t="s">
        <v>136</v>
      </c>
      <c r="Z3" s="3" t="s">
        <v>137</v>
      </c>
      <c r="AA3" s="3" t="s">
        <v>138</v>
      </c>
      <c r="AB3" s="3" t="s">
        <v>139</v>
      </c>
      <c r="AC3" s="3" t="s">
        <v>140</v>
      </c>
      <c r="AD3" s="3" t="s">
        <v>141</v>
      </c>
      <c r="AE3" s="3" t="s">
        <v>142</v>
      </c>
      <c r="AF3" s="3" t="s">
        <v>143</v>
      </c>
      <c r="AG3" s="3" t="s">
        <v>144</v>
      </c>
      <c r="AH3" s="3" t="s">
        <v>145</v>
      </c>
      <c r="AI3" s="3" t="s">
        <v>146</v>
      </c>
      <c r="AJ3" s="3" t="s">
        <v>147</v>
      </c>
      <c r="AK3" s="3" t="s">
        <v>148</v>
      </c>
      <c r="AL3" s="3" t="s">
        <v>149</v>
      </c>
      <c r="AM3" s="3" t="s">
        <v>150</v>
      </c>
      <c r="AN3" s="3" t="s">
        <v>151</v>
      </c>
      <c r="AO3" s="3" t="s">
        <v>152</v>
      </c>
      <c r="AP3" s="3" t="s">
        <v>153</v>
      </c>
      <c r="AQ3" s="3" t="s">
        <v>154</v>
      </c>
      <c r="AR3" s="3" t="s">
        <v>155</v>
      </c>
      <c r="AS3" s="3" t="s">
        <v>156</v>
      </c>
      <c r="AT3" s="3" t="s">
        <v>157</v>
      </c>
      <c r="AU3" s="3" t="s">
        <v>158</v>
      </c>
      <c r="AV3" s="3" t="s">
        <v>159</v>
      </c>
      <c r="AW3" s="3" t="s">
        <v>160</v>
      </c>
      <c r="AX3" s="3" t="s">
        <v>161</v>
      </c>
    </row>
    <row r="4" spans="1:50" ht="28.5">
      <c r="A4" s="2" t="str">
        <f>통합_입력!A5</f>
        <v>허리케인 소드</v>
      </c>
      <c r="B4" s="2" t="str">
        <f>통합_입력!B5</f>
        <v>백어택</v>
      </c>
      <c r="C4" s="18">
        <f>통합_입력!D5</f>
        <v>2.6</v>
      </c>
      <c r="D4" s="18">
        <f>통합_입력!E5</f>
        <v>1</v>
      </c>
      <c r="E4" s="18">
        <f>통합_입력!F5</f>
        <v>3.6</v>
      </c>
      <c r="F4" s="19">
        <f>통합_입력!G5</f>
        <v>0.5</v>
      </c>
      <c r="G4" s="2" t="str">
        <f>통합_입력!H5</f>
        <v>음속 돌파 24%</v>
      </c>
      <c r="H4" s="20">
        <f>통합_입력!K5</f>
        <v>2083.44</v>
      </c>
      <c r="I4" s="2">
        <f>통합_입력!M5</f>
        <v>36</v>
      </c>
      <c r="J4" s="19">
        <f>통합_입력!N5</f>
        <v>0.78859999999999997</v>
      </c>
      <c r="K4" s="19">
        <f>통합_입력!O5</f>
        <v>0.98019999999999996</v>
      </c>
      <c r="L4" s="19">
        <f>통합_입력!P5</f>
        <v>0.76670000000000005</v>
      </c>
      <c r="M4" s="20">
        <f>통합_입력!S5</f>
        <v>498.58</v>
      </c>
      <c r="N4" s="2">
        <f>통합_입력!U5</f>
        <v>25</v>
      </c>
      <c r="O4" s="19">
        <f>통합_입력!V5</f>
        <v>0.91830000000000001</v>
      </c>
      <c r="P4" s="19">
        <f>통합_입력!W5</f>
        <v>1</v>
      </c>
      <c r="Q4" s="19">
        <f t="shared" ref="Q4:Q43" si="0">IF(A4="","",1)</f>
        <v>1</v>
      </c>
      <c r="R4" s="19">
        <f>IF(A4="","",MIN(1,설정!$B$8+IF(B4="백어택",설정!$B$5*L4,IF(B4="헤드어택",설정!$B$7*L4,0))))</f>
        <v>0.97667000000000004</v>
      </c>
      <c r="S4" s="19">
        <f>IF(A4="","",MIN(1,설정!$B$8+IF(B4="백어택",설정!$B$5,IF(B4="헤드어택",설정!$B$7,0))))</f>
        <v>1</v>
      </c>
      <c r="T4" s="19">
        <f>IF(A4="","",IF(G4="뭉툭한가시",설정!$B$13,R4))</f>
        <v>0.97667000000000004</v>
      </c>
      <c r="U4" s="19">
        <f>IF(A4="","",IF(G4="뭉툭한가시",설정!$B$13,S4))</f>
        <v>1</v>
      </c>
      <c r="V4" s="19">
        <f>IF(A4="","",IF(G4="뭉툭한가시",MAX(0,MIN(설정!$B$14,(R4-설정!$B$16)/(설정!$B$15-설정!$B$16)*설정!$B$14)),설정!$B$12))</f>
        <v>0.24</v>
      </c>
      <c r="W4" s="19">
        <f>IF(A4="","",IF(G4="뭉툭한가시",MAX(0,MIN(설정!$B$14,(S4-설정!$B$16)/(설정!$B$15-설정!$B$16)*설정!$B$14)),설정!$B$12))</f>
        <v>0.24</v>
      </c>
      <c r="X4" s="2">
        <f t="shared" ref="X4:X43" si="1">IF(A4="","",1+F4+V4)</f>
        <v>1.74</v>
      </c>
      <c r="Y4" s="2">
        <f t="shared" ref="Y4:Y43" si="2">IF(A4="","",1+F4+W4)</f>
        <v>1.74</v>
      </c>
      <c r="Z4" s="2">
        <f>IF(A4="","",1+IF(B4="백어택",설정!$B$4*L4,IF(B4="헤드어택",설정!$B$6*L4,0)))</f>
        <v>1.038335</v>
      </c>
      <c r="AA4" s="1">
        <f>IF(A4="","",1+IF(B4="백어택",설정!$B$4,IF(B4="헤드어택",설정!$B$6,0)))</f>
        <v>1.05</v>
      </c>
      <c r="AB4" s="1">
        <f t="shared" ref="AB4:AB43" si="3">IF(A4="","",1+IF(K4="",T4,K4)*(E4-1))</f>
        <v>3.5485199999999999</v>
      </c>
      <c r="AC4" s="1">
        <f t="shared" ref="AC4:AC43" si="4">IF(A4="","",1+T4*(E4-1))</f>
        <v>3.539342</v>
      </c>
      <c r="AD4" s="1">
        <f t="shared" ref="AD4:AD43" si="5">IF(A4="","",1+IF(P4="",U4,P4)*(E4-1))</f>
        <v>3.6</v>
      </c>
      <c r="AE4" s="1">
        <f t="shared" ref="AE4:AE43" si="6">IF(A4="","",1+U4*(E4-1))</f>
        <v>3.6</v>
      </c>
      <c r="AF4" s="13">
        <v>129.51102282652801</v>
      </c>
      <c r="AG4" s="13">
        <v>129.04925083038881</v>
      </c>
      <c r="AH4" s="13">
        <v>133.58519999999999</v>
      </c>
      <c r="AI4" s="13">
        <v>133.58519999999999</v>
      </c>
      <c r="AJ4" s="1">
        <f t="shared" ref="AJ4:AJ43" si="7">IFERROR(H4/IF(I4&gt;0,I4,IF(H4&gt;0,1,0))/AF4,0)</f>
        <v>0.44686029088698559</v>
      </c>
      <c r="AK4" s="1">
        <f t="shared" ref="AK4:AK43" si="8">IFERROR(M4/IF(N4&gt;0,N4,IF(M4&gt;0,1,0))/AH4,0)</f>
        <v>0.14929198743573391</v>
      </c>
      <c r="AL4" s="14">
        <f t="shared" ref="AL4:AL43" si="9">IFERROR(AJ4*IF(I4&gt;0,I4,IF(H4&gt;0,1,0))*AG4,0)</f>
        <v>2076.0114875333438</v>
      </c>
      <c r="AM4" s="14">
        <f t="shared" ref="AM4:AM43" si="10">IFERROR(AK4*IF(N4&gt;0,N4,IF(M4&gt;0,1,0))*AI4,0)</f>
        <v>498.58</v>
      </c>
      <c r="AN4" s="1">
        <f>IF(AW4=1,IFERROR(IF(N4&gt;0,N4,IF(M4&gt;0,1,0))/통합_입력!$T$2*통합_입력!$L$2,0),0)</f>
        <v>45.238095238095241</v>
      </c>
      <c r="AO4" s="14">
        <f t="shared" ref="AO4:AO43" si="11">IF(AW4=1,IFERROR(AJ4*AN4*AI4,0),0)</f>
        <v>2700.4392982707782</v>
      </c>
      <c r="AP4" s="12">
        <f t="shared" ref="AP4:AP43" si="12">IF(AW4=1,IFERROR(H4/AL4,0),"")</f>
        <v>1.0035782617347087</v>
      </c>
      <c r="AQ4" s="12">
        <f t="shared" ref="AQ4:AQ43" si="13">IF(AW4=1,IFERROR(M4/AM4,0),"")</f>
        <v>1</v>
      </c>
      <c r="AR4" s="12">
        <f t="shared" ref="AR4:AR43" si="14">IF(AW4=1,IFERROR(AL4/AO4,0),"")</f>
        <v>0.76876806261215136</v>
      </c>
      <c r="AS4" s="12">
        <f t="shared" ref="AS4:AS43" si="15">IF(AW4=1,IFERROR(H4/AO4,0),"")</f>
        <v>0.77151891595346256</v>
      </c>
      <c r="AT4" s="12">
        <f t="shared" ref="AT4:AT43" si="16">IF(AW4=1,IFERROR(J4/O4,0),"")</f>
        <v>0.8587607535663726</v>
      </c>
      <c r="AU4" s="12">
        <f>IF(AW4=1,IFERROR((IF(I4&gt;0,I4,IF(H4&gt;0,1,0))/통합_입력!$L$2)/(IF(N4&gt;0,N4,IF(M4&gt;0,1,0))/통합_입력!$T$2),0),"")</f>
        <v>0.79578947368421049</v>
      </c>
      <c r="AV4" s="1" t="str">
        <f>통합_입력!I5</f>
        <v>주딜기</v>
      </c>
      <c r="AW4" s="1">
        <f t="shared" ref="AW4:AW43" si="17">--AND(A4&lt;&gt;"",H4&gt;0,M4&gt;0)</f>
        <v>1</v>
      </c>
      <c r="AX4" s="1" t="str">
        <f t="shared" ref="AX4:AX43" si="18">IF(A4="","",IF(H4&lt;=0,"실전 미사용/피해 없음",IF(M4&lt;=0,"허수 미사용/피해 없음","포함")))</f>
        <v>포함</v>
      </c>
    </row>
    <row r="5" spans="1:50" ht="28.5">
      <c r="A5" s="2" t="str">
        <f>통합_입력!A6</f>
        <v>플레임 블레이드</v>
      </c>
      <c r="B5" s="2" t="str">
        <f>통합_입력!B6</f>
        <v>백어택</v>
      </c>
      <c r="C5" s="18">
        <f>통합_입력!D6</f>
        <v>2.6</v>
      </c>
      <c r="D5" s="18">
        <f>통합_입력!E6</f>
        <v>0</v>
      </c>
      <c r="E5" s="18">
        <f>통합_입력!F6</f>
        <v>2.6</v>
      </c>
      <c r="F5" s="19">
        <f>통합_입력!G6</f>
        <v>0.5</v>
      </c>
      <c r="G5" s="2" t="str">
        <f>통합_입력!H6</f>
        <v>음속 돌파 24%</v>
      </c>
      <c r="H5" s="20">
        <f>통합_입력!K6</f>
        <v>544.21</v>
      </c>
      <c r="I5" s="2">
        <f>통합_입력!M6</f>
        <v>7</v>
      </c>
      <c r="J5" s="19">
        <f>통합_입력!N6</f>
        <v>0.95650000000000002</v>
      </c>
      <c r="K5" s="19">
        <f>통합_입력!O6</f>
        <v>1</v>
      </c>
      <c r="L5" s="19">
        <f>통합_입력!P6</f>
        <v>0.57140000000000002</v>
      </c>
      <c r="M5" s="20">
        <f>통합_입력!S6</f>
        <v>88.05</v>
      </c>
      <c r="N5" s="2">
        <f>통합_입력!U6</f>
        <v>4</v>
      </c>
      <c r="O5" s="19">
        <f>통합_입력!V6</f>
        <v>0.92349999999999999</v>
      </c>
      <c r="P5" s="19">
        <f>통합_입력!W6</f>
        <v>1</v>
      </c>
      <c r="Q5" s="19">
        <f t="shared" si="0"/>
        <v>1</v>
      </c>
      <c r="R5" s="19">
        <f>IF(A5="","",MIN(1,설정!$B$8+IF(B5="백어택",설정!$B$5*L5,IF(B5="헤드어택",설정!$B$7*L5,0))))</f>
        <v>0.95713999999999999</v>
      </c>
      <c r="S5" s="19">
        <f>IF(A5="","",MIN(1,설정!$B$8+IF(B5="백어택",설정!$B$5,IF(B5="헤드어택",설정!$B$7,0))))</f>
        <v>1</v>
      </c>
      <c r="T5" s="19">
        <f>IF(A5="","",IF(G5="뭉툭한가시",설정!$B$13,R5))</f>
        <v>0.95713999999999999</v>
      </c>
      <c r="U5" s="19">
        <f>IF(A5="","",IF(G5="뭉툭한가시",설정!$B$13,S5))</f>
        <v>1</v>
      </c>
      <c r="V5" s="19">
        <f>IF(A5="","",IF(G5="뭉툭한가시",MAX(0,MIN(설정!$B$14,(R5-설정!$B$16)/(설정!$B$15-설정!$B$16)*설정!$B$14)),설정!$B$12))</f>
        <v>0.24</v>
      </c>
      <c r="W5" s="19">
        <f>IF(A5="","",IF(G5="뭉툭한가시",MAX(0,MIN(설정!$B$14,(S5-설정!$B$16)/(설정!$B$15-설정!$B$16)*설정!$B$14)),설정!$B$12))</f>
        <v>0.24</v>
      </c>
      <c r="X5" s="2">
        <f t="shared" si="1"/>
        <v>1.74</v>
      </c>
      <c r="Y5" s="2">
        <f t="shared" si="2"/>
        <v>1.74</v>
      </c>
      <c r="Z5" s="2">
        <f>IF(A5="","",1+IF(B5="백어택",설정!$B$4*L5,IF(B5="헤드어택",설정!$B$6*L5,0)))</f>
        <v>1.02857</v>
      </c>
      <c r="AA5" s="1">
        <f>IF(A5="","",1+IF(B5="백어택",설정!$B$4,IF(B5="헤드어택",설정!$B$6,0)))</f>
        <v>1.05</v>
      </c>
      <c r="AB5" s="1">
        <f t="shared" si="3"/>
        <v>2.6</v>
      </c>
      <c r="AC5" s="1">
        <f t="shared" si="4"/>
        <v>2.5314240000000003</v>
      </c>
      <c r="AD5" s="1">
        <f t="shared" si="5"/>
        <v>2.6</v>
      </c>
      <c r="AE5" s="1">
        <f t="shared" si="6"/>
        <v>2.6</v>
      </c>
      <c r="AF5" s="13">
        <v>3.3161096799999998</v>
      </c>
      <c r="AG5" s="13">
        <v>3.2286460117632005</v>
      </c>
      <c r="AH5" s="13">
        <v>3.3852000000000002</v>
      </c>
      <c r="AI5" s="13">
        <v>3.3852000000000002</v>
      </c>
      <c r="AJ5" s="1">
        <f t="shared" si="7"/>
        <v>23.444425310530058</v>
      </c>
      <c r="AK5" s="1">
        <f t="shared" si="8"/>
        <v>6.5025700106345266</v>
      </c>
      <c r="AL5" s="14">
        <f t="shared" si="9"/>
        <v>529.85625193846181</v>
      </c>
      <c r="AM5" s="14">
        <f t="shared" si="10"/>
        <v>88.05</v>
      </c>
      <c r="AN5" s="1">
        <f>IF(AW5=1,IFERROR(IF(N5&gt;0,N5,IF(M5&gt;0,1,0))/통합_입력!$T$2*통합_입력!$L$2,0),0)</f>
        <v>7.2380952380952372</v>
      </c>
      <c r="AO5" s="14">
        <f t="shared" si="11"/>
        <v>574.44468672873165</v>
      </c>
      <c r="AP5" s="12">
        <f t="shared" si="12"/>
        <v>1.0270898909072517</v>
      </c>
      <c r="AQ5" s="12">
        <f t="shared" si="13"/>
        <v>1</v>
      </c>
      <c r="AR5" s="12">
        <f t="shared" si="14"/>
        <v>0.9223799334898789</v>
      </c>
      <c r="AS5" s="12">
        <f t="shared" si="15"/>
        <v>0.94736710526315782</v>
      </c>
      <c r="AT5" s="12">
        <f t="shared" si="16"/>
        <v>1.0357336220898754</v>
      </c>
      <c r="AU5" s="12">
        <f>IF(AW5=1,IFERROR((IF(I5&gt;0,I5,IF(H5&gt;0,1,0))/통합_입력!$L$2)/(IF(N5&gt;0,N5,IF(M5&gt;0,1,0))/통합_입력!$T$2),0),"")</f>
        <v>0.96710526315789469</v>
      </c>
      <c r="AV5" s="1" t="str">
        <f>통합_입력!I6</f>
        <v>주딜기</v>
      </c>
      <c r="AW5" s="1">
        <f t="shared" si="17"/>
        <v>1</v>
      </c>
      <c r="AX5" s="1" t="str">
        <f t="shared" si="18"/>
        <v>포함</v>
      </c>
    </row>
    <row r="6" spans="1:50" ht="28.5">
      <c r="A6" s="2" t="str">
        <f>통합_입력!A7</f>
        <v>브루탈 임팩트</v>
      </c>
      <c r="B6" s="2" t="str">
        <f>통합_입력!B7</f>
        <v>백어택</v>
      </c>
      <c r="C6" s="18">
        <f>통합_입력!D7</f>
        <v>2.6</v>
      </c>
      <c r="D6" s="18">
        <f>통합_입력!E7</f>
        <v>0</v>
      </c>
      <c r="E6" s="18">
        <f>통합_입력!F7</f>
        <v>2.6</v>
      </c>
      <c r="F6" s="19">
        <f>통합_입력!G7</f>
        <v>0.5</v>
      </c>
      <c r="G6" s="2" t="str">
        <f>통합_입력!H7</f>
        <v>음속 돌파 24%</v>
      </c>
      <c r="H6" s="20">
        <f>통합_입력!K7</f>
        <v>536.25</v>
      </c>
      <c r="I6" s="2">
        <f>통합_입력!M7</f>
        <v>13</v>
      </c>
      <c r="J6" s="19">
        <f>통합_입력!N7</f>
        <v>0.80349999999999999</v>
      </c>
      <c r="K6" s="19">
        <f>통합_입력!O7</f>
        <v>1</v>
      </c>
      <c r="L6" s="19">
        <f>통합_입력!P7</f>
        <v>0.92300000000000004</v>
      </c>
      <c r="M6" s="20">
        <f>통합_입력!S7</f>
        <v>100.28</v>
      </c>
      <c r="N6" s="2">
        <f>통합_입력!U7</f>
        <v>9</v>
      </c>
      <c r="O6" s="19">
        <f>통합_입력!V7</f>
        <v>0.94020000000000004</v>
      </c>
      <c r="P6" s="19">
        <f>통합_입력!W7</f>
        <v>1</v>
      </c>
      <c r="Q6" s="19">
        <f t="shared" si="0"/>
        <v>1</v>
      </c>
      <c r="R6" s="19">
        <f>IF(A6="","",MIN(1,설정!$B$8+IF(B6="백어택",설정!$B$5*L6,IF(B6="헤드어택",설정!$B$7*L6,0))))</f>
        <v>0.99230000000000007</v>
      </c>
      <c r="S6" s="19">
        <f>IF(A6="","",MIN(1,설정!$B$8+IF(B6="백어택",설정!$B$5,IF(B6="헤드어택",설정!$B$7,0))))</f>
        <v>1</v>
      </c>
      <c r="T6" s="19">
        <f>IF(A6="","",IF(G6="뭉툭한가시",설정!$B$13,R6))</f>
        <v>0.99230000000000007</v>
      </c>
      <c r="U6" s="19">
        <f>IF(A6="","",IF(G6="뭉툭한가시",설정!$B$13,S6))</f>
        <v>1</v>
      </c>
      <c r="V6" s="19">
        <f>IF(A6="","",IF(G6="뭉툭한가시",MAX(0,MIN(설정!$B$14,(R6-설정!$B$16)/(설정!$B$15-설정!$B$16)*설정!$B$14)),설정!$B$12))</f>
        <v>0.24</v>
      </c>
      <c r="W6" s="19">
        <f>IF(A6="","",IF(G6="뭉툭한가시",MAX(0,MIN(설정!$B$14,(S6-설정!$B$16)/(설정!$B$15-설정!$B$16)*설정!$B$14)),설정!$B$12))</f>
        <v>0.24</v>
      </c>
      <c r="X6" s="2">
        <f t="shared" si="1"/>
        <v>1.74</v>
      </c>
      <c r="Y6" s="2">
        <f t="shared" si="2"/>
        <v>1.74</v>
      </c>
      <c r="Z6" s="2">
        <f>IF(A6="","",1+IF(B6="백어택",설정!$B$4*L6,IF(B6="헤드어택",설정!$B$6*L6,0)))</f>
        <v>1.0461499999999999</v>
      </c>
      <c r="AA6" s="1">
        <f>IF(A6="","",1+IF(B6="백어택",설정!$B$4,IF(B6="헤드어택",설정!$B$6,0)))</f>
        <v>1.05</v>
      </c>
      <c r="AB6" s="1">
        <f t="shared" si="3"/>
        <v>2.6</v>
      </c>
      <c r="AC6" s="1">
        <f t="shared" si="4"/>
        <v>2.5876800000000002</v>
      </c>
      <c r="AD6" s="1">
        <f t="shared" si="5"/>
        <v>2.6</v>
      </c>
      <c r="AE6" s="1">
        <f t="shared" si="6"/>
        <v>2.6</v>
      </c>
      <c r="AF6" s="13">
        <v>3.3727876000000001</v>
      </c>
      <c r="AG6" s="13">
        <v>3.3568057756800003</v>
      </c>
      <c r="AH6" s="13">
        <v>3.3852000000000002</v>
      </c>
      <c r="AI6" s="13">
        <v>3.3852000000000002</v>
      </c>
      <c r="AJ6" s="1">
        <f t="shared" si="7"/>
        <v>12.230239461269367</v>
      </c>
      <c r="AK6" s="1">
        <f t="shared" si="8"/>
        <v>3.2914516785484529</v>
      </c>
      <c r="AL6" s="14">
        <f t="shared" si="9"/>
        <v>533.70900000000006</v>
      </c>
      <c r="AM6" s="14">
        <f t="shared" si="10"/>
        <v>100.28</v>
      </c>
      <c r="AN6" s="1">
        <f>IF(AW6=1,IFERROR(IF(N6&gt;0,N6,IF(M6&gt;0,1,0))/통합_입력!$T$2*통합_입력!$L$2,0),0)</f>
        <v>16.285714285714285</v>
      </c>
      <c r="AO6" s="14">
        <f t="shared" si="11"/>
        <v>674.2579935955647</v>
      </c>
      <c r="AP6" s="12">
        <f t="shared" si="12"/>
        <v>1.0047610214555123</v>
      </c>
      <c r="AQ6" s="12">
        <f t="shared" si="13"/>
        <v>1</v>
      </c>
      <c r="AR6" s="12">
        <f t="shared" si="14"/>
        <v>0.79155012631578958</v>
      </c>
      <c r="AS6" s="12">
        <f t="shared" si="15"/>
        <v>0.79531871345029237</v>
      </c>
      <c r="AT6" s="12">
        <f t="shared" si="16"/>
        <v>0.85460540310572219</v>
      </c>
      <c r="AU6" s="12">
        <f>IF(AW6=1,IFERROR((IF(I6&gt;0,I6,IF(H6&gt;0,1,0))/통합_입력!$L$2)/(IF(N6&gt;0,N6,IF(M6&gt;0,1,0))/통합_입력!$T$2),0),"")</f>
        <v>0.79824561403508776</v>
      </c>
      <c r="AV6" s="1" t="str">
        <f>통합_입력!I7</f>
        <v>주딜기</v>
      </c>
      <c r="AW6" s="1">
        <f t="shared" si="17"/>
        <v>1</v>
      </c>
      <c r="AX6" s="1" t="str">
        <f t="shared" si="18"/>
        <v>포함</v>
      </c>
    </row>
    <row r="7" spans="1:50" ht="28.5">
      <c r="A7" s="2" t="str">
        <f>통합_입력!A8</f>
        <v>길로틴</v>
      </c>
      <c r="B7" s="2" t="str">
        <f>통합_입력!B8</f>
        <v>백어택</v>
      </c>
      <c r="C7" s="18">
        <f>통합_입력!D8</f>
        <v>2.6</v>
      </c>
      <c r="D7" s="18">
        <f>통합_입력!E8</f>
        <v>0</v>
      </c>
      <c r="E7" s="18">
        <f>통합_입력!F8</f>
        <v>2.6</v>
      </c>
      <c r="F7" s="19">
        <f>통합_입력!G8</f>
        <v>0.5</v>
      </c>
      <c r="G7" s="2" t="str">
        <f>통합_입력!H8</f>
        <v>음속 돌파 24%</v>
      </c>
      <c r="H7" s="20">
        <f>통합_입력!K8</f>
        <v>426.77</v>
      </c>
      <c r="I7" s="2">
        <f>통합_입력!M8</f>
        <v>28</v>
      </c>
      <c r="J7" s="19">
        <f>통합_입력!N8</f>
        <v>0.82189999999999996</v>
      </c>
      <c r="K7" s="19">
        <f>통합_입력!O8</f>
        <v>0.96419999999999995</v>
      </c>
      <c r="L7" s="19">
        <f>통합_입력!P8</f>
        <v>0.75</v>
      </c>
      <c r="M7" s="20">
        <f>통합_입력!S8</f>
        <v>81.53</v>
      </c>
      <c r="N7" s="2">
        <f>통합_입력!U8</f>
        <v>18</v>
      </c>
      <c r="O7" s="19">
        <f>통합_입력!V8</f>
        <v>0.90559999999999996</v>
      </c>
      <c r="P7" s="19">
        <f>통합_입력!W8</f>
        <v>0.94110000000000005</v>
      </c>
      <c r="Q7" s="19">
        <f t="shared" si="0"/>
        <v>1</v>
      </c>
      <c r="R7" s="19">
        <f>IF(A7="","",MIN(1,설정!$B$8+IF(B7="백어택",설정!$B$5*L7,IF(B7="헤드어택",설정!$B$7*L7,0))))</f>
        <v>0.97500000000000009</v>
      </c>
      <c r="S7" s="19">
        <f>IF(A7="","",MIN(1,설정!$B$8+IF(B7="백어택",설정!$B$5,IF(B7="헤드어택",설정!$B$7,0))))</f>
        <v>1</v>
      </c>
      <c r="T7" s="19">
        <f>IF(A7="","",IF(G7="뭉툭한가시",설정!$B$13,R7))</f>
        <v>0.97500000000000009</v>
      </c>
      <c r="U7" s="19">
        <f>IF(A7="","",IF(G7="뭉툭한가시",설정!$B$13,S7))</f>
        <v>1</v>
      </c>
      <c r="V7" s="19">
        <f>IF(A7="","",IF(G7="뭉툭한가시",MAX(0,MIN(설정!$B$14,(R7-설정!$B$16)/(설정!$B$15-설정!$B$16)*설정!$B$14)),설정!$B$12))</f>
        <v>0.24</v>
      </c>
      <c r="W7" s="19">
        <f>IF(A7="","",IF(G7="뭉툭한가시",MAX(0,MIN(설정!$B$14,(S7-설정!$B$16)/(설정!$B$15-설정!$B$16)*설정!$B$14)),설정!$B$12))</f>
        <v>0.24</v>
      </c>
      <c r="X7" s="2">
        <f t="shared" si="1"/>
        <v>1.74</v>
      </c>
      <c r="Y7" s="2">
        <f t="shared" si="2"/>
        <v>1.74</v>
      </c>
      <c r="Z7" s="2">
        <f>IF(A7="","",1+IF(B7="백어택",설정!$B$4*L7,IF(B7="헤드어택",설정!$B$6*L7,0)))</f>
        <v>1.0375000000000001</v>
      </c>
      <c r="AA7" s="1">
        <f>IF(A7="","",1+IF(B7="백어택",설정!$B$4,IF(B7="헤드어택",설정!$B$6,0)))</f>
        <v>1.05</v>
      </c>
      <c r="AB7" s="1">
        <f t="shared" si="3"/>
        <v>2.5427200000000001</v>
      </c>
      <c r="AC7" s="1">
        <f t="shared" si="4"/>
        <v>2.5600000000000005</v>
      </c>
      <c r="AD7" s="1">
        <f t="shared" si="5"/>
        <v>2.5057600000000004</v>
      </c>
      <c r="AE7" s="1">
        <f t="shared" si="6"/>
        <v>2.6</v>
      </c>
      <c r="AF7" s="13">
        <v>3.2712092800000008</v>
      </c>
      <c r="AG7" s="13">
        <v>3.2934400000000013</v>
      </c>
      <c r="AH7" s="13">
        <v>3.2624995200000009</v>
      </c>
      <c r="AI7" s="13">
        <v>3.3852000000000002</v>
      </c>
      <c r="AJ7" s="1">
        <f t="shared" si="7"/>
        <v>4.6593734639581692</v>
      </c>
      <c r="AK7" s="1">
        <f t="shared" si="8"/>
        <v>1.3883356661595596</v>
      </c>
      <c r="AL7" s="14">
        <f t="shared" si="9"/>
        <v>429.67027435187515</v>
      </c>
      <c r="AM7" s="14">
        <f t="shared" si="10"/>
        <v>84.596290147500142</v>
      </c>
      <c r="AN7" s="1">
        <f>IF(AW7=1,IFERROR(IF(N7&gt;0,N7,IF(M7&gt;0,1,0))/통합_입력!$T$2*통합_입력!$L$2,0),0)</f>
        <v>32.571428571428569</v>
      </c>
      <c r="AO7" s="14">
        <f t="shared" si="11"/>
        <v>513.74624563479892</v>
      </c>
      <c r="AP7" s="12">
        <f t="shared" si="12"/>
        <v>0.99324999999999997</v>
      </c>
      <c r="AQ7" s="12">
        <f t="shared" si="13"/>
        <v>0.96375384615384641</v>
      </c>
      <c r="AR7" s="12">
        <f t="shared" si="14"/>
        <v>0.83634727845254186</v>
      </c>
      <c r="AS7" s="12">
        <f t="shared" si="15"/>
        <v>0.83070193432298722</v>
      </c>
      <c r="AT7" s="12">
        <f t="shared" si="16"/>
        <v>0.90757508833922262</v>
      </c>
      <c r="AU7" s="12">
        <f>IF(AW7=1,IFERROR((IF(I7&gt;0,I7,IF(H7&gt;0,1,0))/통합_입력!$L$2)/(IF(N7&gt;0,N7,IF(M7&gt;0,1,0))/통합_입력!$T$2),0),"")</f>
        <v>0.85964912280701755</v>
      </c>
      <c r="AV7" s="1" t="str">
        <f>통합_입력!I8</f>
        <v>주딜기</v>
      </c>
      <c r="AW7" s="1">
        <f t="shared" si="17"/>
        <v>1</v>
      </c>
      <c r="AX7" s="1" t="str">
        <f t="shared" si="18"/>
        <v>포함</v>
      </c>
    </row>
    <row r="8" spans="1:50" ht="28.5">
      <c r="A8" s="2" t="str">
        <f>통합_입력!A9</f>
        <v>볼케이노 이럽션</v>
      </c>
      <c r="B8" s="2" t="str">
        <f>통합_입력!B9</f>
        <v>백어택</v>
      </c>
      <c r="C8" s="18">
        <f>통합_입력!D9</f>
        <v>2.6</v>
      </c>
      <c r="D8" s="18">
        <f>통합_입력!E9</f>
        <v>0</v>
      </c>
      <c r="E8" s="18">
        <f>통합_입력!F9</f>
        <v>2.6</v>
      </c>
      <c r="F8" s="19">
        <f>통합_입력!G9</f>
        <v>0.5</v>
      </c>
      <c r="G8" s="2" t="str">
        <f>통합_입력!H9</f>
        <v>음속 돌파 24%</v>
      </c>
      <c r="H8" s="20">
        <f>통합_입력!K9</f>
        <v>395.4</v>
      </c>
      <c r="I8" s="2">
        <f>통합_입력!M9</f>
        <v>13</v>
      </c>
      <c r="J8" s="19">
        <f>통합_입력!N9</f>
        <v>0.72319999999999995</v>
      </c>
      <c r="K8" s="19">
        <f>통합_입력!O9</f>
        <v>0.96</v>
      </c>
      <c r="L8" s="19">
        <f>통합_입력!P9</f>
        <v>0.76</v>
      </c>
      <c r="M8" s="20">
        <f>통합_입력!S9</f>
        <v>80.3</v>
      </c>
      <c r="N8" s="2">
        <f>통합_입력!U9</f>
        <v>9</v>
      </c>
      <c r="O8" s="19">
        <f>통합_입력!V9</f>
        <v>0.84660000000000002</v>
      </c>
      <c r="P8" s="19">
        <f>통합_입력!W9</f>
        <v>1</v>
      </c>
      <c r="Q8" s="19">
        <f t="shared" si="0"/>
        <v>1</v>
      </c>
      <c r="R8" s="19">
        <f>IF(A8="","",MIN(1,설정!$B$8+IF(B8="백어택",설정!$B$5*L8,IF(B8="헤드어택",설정!$B$7*L8,0))))</f>
        <v>0.97599999999999998</v>
      </c>
      <c r="S8" s="19">
        <f>IF(A8="","",MIN(1,설정!$B$8+IF(B8="백어택",설정!$B$5,IF(B8="헤드어택",설정!$B$7,0))))</f>
        <v>1</v>
      </c>
      <c r="T8" s="19">
        <f>IF(A8="","",IF(G8="뭉툭한가시",설정!$B$13,R8))</f>
        <v>0.97599999999999998</v>
      </c>
      <c r="U8" s="19">
        <f>IF(A8="","",IF(G8="뭉툭한가시",설정!$B$13,S8))</f>
        <v>1</v>
      </c>
      <c r="V8" s="19">
        <f>IF(A8="","",IF(G8="뭉툭한가시",MAX(0,MIN(설정!$B$14,(R8-설정!$B$16)/(설정!$B$15-설정!$B$16)*설정!$B$14)),설정!$B$12))</f>
        <v>0.24</v>
      </c>
      <c r="W8" s="19">
        <f>IF(A8="","",IF(G8="뭉툭한가시",MAX(0,MIN(설정!$B$14,(S8-설정!$B$16)/(설정!$B$15-설정!$B$16)*설정!$B$14)),설정!$B$12))</f>
        <v>0.24</v>
      </c>
      <c r="X8" s="2">
        <f t="shared" si="1"/>
        <v>1.74</v>
      </c>
      <c r="Y8" s="2">
        <f t="shared" si="2"/>
        <v>1.74</v>
      </c>
      <c r="Z8" s="2">
        <f>IF(A8="","",1+IF(B8="백어택",설정!$B$4*L8,IF(B8="헤드어택",설정!$B$6*L8,0)))</f>
        <v>1.038</v>
      </c>
      <c r="AA8" s="1">
        <f>IF(A8="","",1+IF(B8="백어택",설정!$B$4,IF(B8="헤드어택",설정!$B$6,0)))</f>
        <v>1.05</v>
      </c>
      <c r="AB8" s="1">
        <f t="shared" si="3"/>
        <v>2.536</v>
      </c>
      <c r="AC8" s="1">
        <f t="shared" si="4"/>
        <v>2.5616000000000003</v>
      </c>
      <c r="AD8" s="1">
        <f t="shared" si="5"/>
        <v>2.6</v>
      </c>
      <c r="AE8" s="1">
        <f t="shared" si="6"/>
        <v>2.6</v>
      </c>
      <c r="AF8" s="13">
        <v>3.26413632</v>
      </c>
      <c r="AG8" s="13">
        <v>3.2970865920000003</v>
      </c>
      <c r="AH8" s="13">
        <v>3.3852000000000002</v>
      </c>
      <c r="AI8" s="13">
        <v>3.3852000000000002</v>
      </c>
      <c r="AJ8" s="1">
        <f t="shared" si="7"/>
        <v>9.3180497484200089</v>
      </c>
      <c r="AK8" s="1">
        <f t="shared" si="8"/>
        <v>2.6356558614623129</v>
      </c>
      <c r="AL8" s="14">
        <f t="shared" si="9"/>
        <v>399.39141955835964</v>
      </c>
      <c r="AM8" s="14">
        <f t="shared" si="10"/>
        <v>80.3</v>
      </c>
      <c r="AN8" s="1">
        <f>IF(AW8=1,IFERROR(IF(N8&gt;0,N8,IF(M8&gt;0,1,0))/통합_입력!$T$2*통합_입력!$L$2,0),0)</f>
        <v>16.285714285714285</v>
      </c>
      <c r="AO8" s="14">
        <f t="shared" si="11"/>
        <v>513.70780985029455</v>
      </c>
      <c r="AP8" s="12">
        <f t="shared" si="12"/>
        <v>0.99000624609618981</v>
      </c>
      <c r="AQ8" s="12">
        <f t="shared" si="13"/>
        <v>1</v>
      </c>
      <c r="AR8" s="12">
        <f t="shared" si="14"/>
        <v>0.77746807017543851</v>
      </c>
      <c r="AS8" s="12">
        <f t="shared" si="15"/>
        <v>0.76969824561403499</v>
      </c>
      <c r="AT8" s="12">
        <f t="shared" si="16"/>
        <v>0.85424049137727376</v>
      </c>
      <c r="AU8" s="12">
        <f>IF(AW8=1,IFERROR((IF(I8&gt;0,I8,IF(H8&gt;0,1,0))/통합_입력!$L$2)/(IF(N8&gt;0,N8,IF(M8&gt;0,1,0))/통합_입력!$T$2),0),"")</f>
        <v>0.79824561403508776</v>
      </c>
      <c r="AV8" s="1" t="str">
        <f>통합_입력!I9</f>
        <v>주딜기</v>
      </c>
      <c r="AW8" s="1">
        <f t="shared" si="17"/>
        <v>1</v>
      </c>
      <c r="AX8" s="1" t="str">
        <f t="shared" si="18"/>
        <v>포함</v>
      </c>
    </row>
    <row r="9" spans="1:50" ht="28.5">
      <c r="A9" s="2" t="str">
        <f>통합_입력!A10</f>
        <v>파이널 블로</v>
      </c>
      <c r="B9" s="2" t="str">
        <f>통합_입력!B10</f>
        <v>백어택</v>
      </c>
      <c r="C9" s="18">
        <f>통합_입력!D10</f>
        <v>2.6</v>
      </c>
      <c r="D9" s="18">
        <f>통합_입력!E10</f>
        <v>0</v>
      </c>
      <c r="E9" s="18">
        <f>통합_입력!F10</f>
        <v>2.6</v>
      </c>
      <c r="F9" s="19">
        <f>통합_입력!G10</f>
        <v>0.5</v>
      </c>
      <c r="G9" s="2" t="str">
        <f>통합_입력!H10</f>
        <v>음속 돌파 24%</v>
      </c>
      <c r="H9" s="20">
        <f>통합_입력!K10</f>
        <v>249.28</v>
      </c>
      <c r="I9" s="2">
        <f>통합_입력!M10</f>
        <v>29</v>
      </c>
      <c r="J9" s="19">
        <f>통합_입력!N10</f>
        <v>0.71679999999999999</v>
      </c>
      <c r="K9" s="19">
        <f>통합_입력!O10</f>
        <v>0.9556</v>
      </c>
      <c r="L9" s="19">
        <f>통합_입력!P10</f>
        <v>0.60750000000000004</v>
      </c>
      <c r="M9" s="20">
        <f>통합_입력!S10</f>
        <v>63.24</v>
      </c>
      <c r="N9" s="2">
        <f>통합_입력!U10</f>
        <v>19</v>
      </c>
      <c r="O9" s="19">
        <f>통합_입력!V10</f>
        <v>0.83940000000000003</v>
      </c>
      <c r="P9" s="19">
        <f>통합_입력!W10</f>
        <v>1</v>
      </c>
      <c r="Q9" s="19">
        <f t="shared" si="0"/>
        <v>1</v>
      </c>
      <c r="R9" s="19">
        <f>IF(A9="","",MIN(1,설정!$B$8+IF(B9="백어택",설정!$B$5*L9,IF(B9="헤드어택",설정!$B$7*L9,0))))</f>
        <v>0.96074999999999999</v>
      </c>
      <c r="S9" s="19">
        <f>IF(A9="","",MIN(1,설정!$B$8+IF(B9="백어택",설정!$B$5,IF(B9="헤드어택",설정!$B$7,0))))</f>
        <v>1</v>
      </c>
      <c r="T9" s="19">
        <f>IF(A9="","",IF(G9="뭉툭한가시",설정!$B$13,R9))</f>
        <v>0.96074999999999999</v>
      </c>
      <c r="U9" s="19">
        <f>IF(A9="","",IF(G9="뭉툭한가시",설정!$B$13,S9))</f>
        <v>1</v>
      </c>
      <c r="V9" s="19">
        <f>IF(A9="","",IF(G9="뭉툭한가시",MAX(0,MIN(설정!$B$14,(R9-설정!$B$16)/(설정!$B$15-설정!$B$16)*설정!$B$14)),설정!$B$12))</f>
        <v>0.24</v>
      </c>
      <c r="W9" s="19">
        <f>IF(A9="","",IF(G9="뭉툭한가시",MAX(0,MIN(설정!$B$14,(S9-설정!$B$16)/(설정!$B$15-설정!$B$16)*설정!$B$14)),설정!$B$12))</f>
        <v>0.24</v>
      </c>
      <c r="X9" s="2">
        <f t="shared" si="1"/>
        <v>1.74</v>
      </c>
      <c r="Y9" s="2">
        <f t="shared" si="2"/>
        <v>1.74</v>
      </c>
      <c r="Z9" s="2">
        <f>IF(A9="","",1+IF(B9="백어택",설정!$B$4*L9,IF(B9="헤드어택",설정!$B$6*L9,0)))</f>
        <v>1.030375</v>
      </c>
      <c r="AA9" s="1">
        <f>IF(A9="","",1+IF(B9="백어택",설정!$B$4,IF(B9="헤드어택",설정!$B$6,0)))</f>
        <v>1.05</v>
      </c>
      <c r="AB9" s="1">
        <f t="shared" si="3"/>
        <v>2.5289600000000001</v>
      </c>
      <c r="AC9" s="1">
        <f t="shared" si="4"/>
        <v>2.5372000000000003</v>
      </c>
      <c r="AD9" s="1">
        <f t="shared" si="5"/>
        <v>2.6</v>
      </c>
      <c r="AE9" s="1">
        <f t="shared" si="6"/>
        <v>2.6</v>
      </c>
      <c r="AF9" s="13">
        <v>3.2311636784000002</v>
      </c>
      <c r="AG9" s="13">
        <v>3.2416916380000007</v>
      </c>
      <c r="AH9" s="13">
        <v>3.3852000000000002</v>
      </c>
      <c r="AI9" s="13">
        <v>3.3852000000000002</v>
      </c>
      <c r="AJ9" s="1">
        <f t="shared" si="7"/>
        <v>2.6602991753181615</v>
      </c>
      <c r="AK9" s="1">
        <f t="shared" si="8"/>
        <v>0.98322729901677275</v>
      </c>
      <c r="AL9" s="14">
        <f t="shared" si="9"/>
        <v>250.09221814500827</v>
      </c>
      <c r="AM9" s="14">
        <f t="shared" si="10"/>
        <v>63.240000000000009</v>
      </c>
      <c r="AN9" s="1">
        <f>IF(AW9=1,IFERROR(IF(N9&gt;0,N9,IF(M9&gt;0,1,0))/통합_입력!$T$2*통합_입력!$L$2,0),0)</f>
        <v>34.38095238095238</v>
      </c>
      <c r="AO9" s="14">
        <f t="shared" si="11"/>
        <v>309.62264393824967</v>
      </c>
      <c r="AP9" s="12">
        <f t="shared" si="12"/>
        <v>0.99675232539807646</v>
      </c>
      <c r="AQ9" s="12">
        <f t="shared" si="13"/>
        <v>0.99999999999999989</v>
      </c>
      <c r="AR9" s="12">
        <f t="shared" si="14"/>
        <v>0.80773232527168137</v>
      </c>
      <c r="AS9" s="12">
        <f t="shared" si="15"/>
        <v>0.80510907351374394</v>
      </c>
      <c r="AT9" s="12">
        <f t="shared" si="16"/>
        <v>0.85394329282821058</v>
      </c>
      <c r="AU9" s="12">
        <f>IF(AW9=1,IFERROR((IF(I9&gt;0,I9,IF(H9&gt;0,1,0))/통합_입력!$L$2)/(IF(N9&gt;0,N9,IF(M9&gt;0,1,0))/통합_입력!$T$2),0),"")</f>
        <v>0.84349030470914133</v>
      </c>
      <c r="AV9" s="1" t="str">
        <f>통합_입력!I10</f>
        <v>주딜기</v>
      </c>
      <c r="AW9" s="1">
        <f t="shared" si="17"/>
        <v>1</v>
      </c>
      <c r="AX9" s="1" t="str">
        <f t="shared" si="18"/>
        <v>포함</v>
      </c>
    </row>
    <row r="10" spans="1:50" ht="28.5">
      <c r="A10" s="2" t="str">
        <f>통합_입력!A11</f>
        <v>페이탈 소드</v>
      </c>
      <c r="B10" s="2" t="str">
        <f>통합_입력!B11</f>
        <v>백어택</v>
      </c>
      <c r="C10" s="18">
        <f>통합_입력!D11</f>
        <v>2.6</v>
      </c>
      <c r="D10" s="18">
        <f>통합_입력!E11</f>
        <v>0</v>
      </c>
      <c r="E10" s="18">
        <f>통합_입력!F11</f>
        <v>2.6</v>
      </c>
      <c r="F10" s="19">
        <f>통합_입력!G11</f>
        <v>0.5</v>
      </c>
      <c r="G10" s="2" t="str">
        <f>통합_입력!H11</f>
        <v>음속 돌파 24%</v>
      </c>
      <c r="H10" s="20">
        <f>통합_입력!K11</f>
        <v>116.8</v>
      </c>
      <c r="I10" s="2">
        <f>통합_입력!M11</f>
        <v>16</v>
      </c>
      <c r="J10" s="19">
        <f>통합_입력!N11</f>
        <v>0.6885</v>
      </c>
      <c r="K10" s="19">
        <f>통합_입력!O11</f>
        <v>0.96660000000000001</v>
      </c>
      <c r="L10" s="19">
        <f>통합_입력!P11</f>
        <v>0.76659999999999995</v>
      </c>
      <c r="M10" s="20">
        <f>통합_입력!S11</f>
        <v>28.1</v>
      </c>
      <c r="N10" s="2">
        <f>통합_입력!U11</f>
        <v>11</v>
      </c>
      <c r="O10" s="19">
        <f>통합_입력!V11</f>
        <v>0.81850000000000001</v>
      </c>
      <c r="P10" s="19">
        <f>통합_입력!W11</f>
        <v>1</v>
      </c>
      <c r="Q10" s="19">
        <f t="shared" si="0"/>
        <v>1</v>
      </c>
      <c r="R10" s="19">
        <f>IF(A10="","",MIN(1,설정!$B$8+IF(B10="백어택",설정!$B$5*L10,IF(B10="헤드어택",설정!$B$7*L10,0))))</f>
        <v>0.97666000000000008</v>
      </c>
      <c r="S10" s="19">
        <f>IF(A10="","",MIN(1,설정!$B$8+IF(B10="백어택",설정!$B$5,IF(B10="헤드어택",설정!$B$7,0))))</f>
        <v>1</v>
      </c>
      <c r="T10" s="19">
        <f>IF(A10="","",IF(G10="뭉툭한가시",설정!$B$13,R10))</f>
        <v>0.97666000000000008</v>
      </c>
      <c r="U10" s="19">
        <f>IF(A10="","",IF(G10="뭉툭한가시",설정!$B$13,S10))</f>
        <v>1</v>
      </c>
      <c r="V10" s="19">
        <f>IF(A10="","",IF(G10="뭉툭한가시",MAX(0,MIN(설정!$B$14,(R10-설정!$B$16)/(설정!$B$15-설정!$B$16)*설정!$B$14)),설정!$B$12))</f>
        <v>0.24</v>
      </c>
      <c r="W10" s="19">
        <f>IF(A10="","",IF(G10="뭉툭한가시",MAX(0,MIN(설정!$B$14,(S10-설정!$B$16)/(설정!$B$15-설정!$B$16)*설정!$B$14)),설정!$B$12))</f>
        <v>0.24</v>
      </c>
      <c r="X10" s="2">
        <f t="shared" si="1"/>
        <v>1.74</v>
      </c>
      <c r="Y10" s="2">
        <f t="shared" si="2"/>
        <v>1.74</v>
      </c>
      <c r="Z10" s="2">
        <f>IF(A10="","",1+IF(B10="백어택",설정!$B$4*L10,IF(B10="헤드어택",설정!$B$6*L10,0)))</f>
        <v>1.03833</v>
      </c>
      <c r="AA10" s="1">
        <f>IF(A10="","",1+IF(B10="백어택",설정!$B$4,IF(B10="헤드어택",설정!$B$6,0)))</f>
        <v>1.05</v>
      </c>
      <c r="AB10" s="1">
        <f t="shared" si="3"/>
        <v>2.5465600000000004</v>
      </c>
      <c r="AC10" s="1">
        <f t="shared" si="4"/>
        <v>2.5626560000000005</v>
      </c>
      <c r="AD10" s="1">
        <f t="shared" si="5"/>
        <v>2.6</v>
      </c>
      <c r="AE10" s="1">
        <f t="shared" si="6"/>
        <v>2.6</v>
      </c>
      <c r="AF10" s="13">
        <v>3.2787703595520008</v>
      </c>
      <c r="AG10" s="13">
        <v>3.2994944295552009</v>
      </c>
      <c r="AH10" s="13">
        <v>3.3852000000000002</v>
      </c>
      <c r="AI10" s="13">
        <v>3.3852000000000002</v>
      </c>
      <c r="AJ10" s="1">
        <f t="shared" si="7"/>
        <v>2.2264444286965692</v>
      </c>
      <c r="AK10" s="1">
        <f t="shared" si="8"/>
        <v>0.75462172236365788</v>
      </c>
      <c r="AL10" s="14">
        <f t="shared" si="9"/>
        <v>117.53825584317667</v>
      </c>
      <c r="AM10" s="14">
        <f t="shared" si="10"/>
        <v>28.100000000000005</v>
      </c>
      <c r="AN10" s="1">
        <f>IF(AW10=1,IFERROR(IF(N10&gt;0,N10,IF(M10&gt;0,1,0))/통합_입력!$T$2*통합_입력!$L$2,0),0)</f>
        <v>19.904761904761905</v>
      </c>
      <c r="AO10" s="14">
        <f t="shared" si="11"/>
        <v>150.02138791666076</v>
      </c>
      <c r="AP10" s="12">
        <f t="shared" si="12"/>
        <v>0.99371901652036021</v>
      </c>
      <c r="AQ10" s="12">
        <f t="shared" si="13"/>
        <v>0.99999999999999989</v>
      </c>
      <c r="AR10" s="12">
        <f t="shared" si="14"/>
        <v>0.78347665939786548</v>
      </c>
      <c r="AS10" s="12">
        <f t="shared" si="15"/>
        <v>0.77855565544350402</v>
      </c>
      <c r="AT10" s="12">
        <f t="shared" si="16"/>
        <v>0.84117287721441658</v>
      </c>
      <c r="AU10" s="12">
        <f>IF(AW10=1,IFERROR((IF(I10&gt;0,I10,IF(H10&gt;0,1,0))/통합_입력!$L$2)/(IF(N10&gt;0,N10,IF(M10&gt;0,1,0))/통합_입력!$T$2),0),"")</f>
        <v>0.80382775119617211</v>
      </c>
      <c r="AV10" s="1" t="str">
        <f>통합_입력!I11</f>
        <v>주딜기</v>
      </c>
      <c r="AW10" s="1">
        <f t="shared" si="17"/>
        <v>1</v>
      </c>
      <c r="AX10" s="1" t="str">
        <f t="shared" si="18"/>
        <v>포함</v>
      </c>
    </row>
    <row r="11" spans="1:50" ht="28.5">
      <c r="A11" s="2" t="str">
        <f>통합_입력!A12</f>
        <v>스킬룬 : 출혈</v>
      </c>
      <c r="B11" s="2" t="str">
        <f>통합_입력!B12</f>
        <v>없음</v>
      </c>
      <c r="C11" s="18">
        <f>통합_입력!D12</f>
        <v>2.6</v>
      </c>
      <c r="D11" s="18">
        <f>통합_입력!E12</f>
        <v>0</v>
      </c>
      <c r="E11" s="18">
        <f>통합_입력!F12</f>
        <v>2.6</v>
      </c>
      <c r="F11" s="19">
        <f>통합_입력!G12</f>
        <v>0.5</v>
      </c>
      <c r="G11" s="2" t="str">
        <f>통합_입력!H12</f>
        <v>음속 돌파 24%</v>
      </c>
      <c r="H11" s="20">
        <f>통합_입력!K12</f>
        <v>51.05</v>
      </c>
      <c r="I11" s="2">
        <f>통합_입력!M12</f>
        <v>0</v>
      </c>
      <c r="J11" s="19">
        <f>통합_입력!N12</f>
        <v>0</v>
      </c>
      <c r="K11" s="19">
        <f>통합_입력!O12</f>
        <v>0.96260000000000001</v>
      </c>
      <c r="L11" s="19">
        <f>통합_입력!P12</f>
        <v>0</v>
      </c>
      <c r="M11" s="20">
        <f>통합_입력!S12</f>
        <v>8.5500000000000007</v>
      </c>
      <c r="N11" s="2">
        <f>통합_입력!U12</f>
        <v>0</v>
      </c>
      <c r="O11" s="19">
        <f>통합_입력!V12</f>
        <v>0</v>
      </c>
      <c r="P11" s="19">
        <f>통합_입력!W12</f>
        <v>0.89780000000000004</v>
      </c>
      <c r="Q11" s="19">
        <f t="shared" si="0"/>
        <v>1</v>
      </c>
      <c r="R11" s="19">
        <f>IF(A11="","",MIN(1,설정!$B$8+IF(B11="백어택",설정!$B$5*L11,IF(B11="헤드어택",설정!$B$7*L11,0))))</f>
        <v>0.9</v>
      </c>
      <c r="S11" s="19">
        <f>IF(A11="","",MIN(1,설정!$B$8+IF(B11="백어택",설정!$B$5,IF(B11="헤드어택",설정!$B$7,0))))</f>
        <v>0.9</v>
      </c>
      <c r="T11" s="19">
        <f>IF(A11="","",IF(G11="뭉툭한가시",설정!$B$13,R11))</f>
        <v>0.9</v>
      </c>
      <c r="U11" s="19">
        <f>IF(A11="","",IF(G11="뭉툭한가시",설정!$B$13,S11))</f>
        <v>0.9</v>
      </c>
      <c r="V11" s="19">
        <f>IF(A11="","",IF(G11="뭉툭한가시",MAX(0,MIN(설정!$B$14,(R11-설정!$B$16)/(설정!$B$15-설정!$B$16)*설정!$B$14)),설정!$B$12))</f>
        <v>0.24</v>
      </c>
      <c r="W11" s="19">
        <f>IF(A11="","",IF(G11="뭉툭한가시",MAX(0,MIN(설정!$B$14,(S11-설정!$B$16)/(설정!$B$15-설정!$B$16)*설정!$B$14)),설정!$B$12))</f>
        <v>0.24</v>
      </c>
      <c r="X11" s="2">
        <f t="shared" si="1"/>
        <v>1.74</v>
      </c>
      <c r="Y11" s="2">
        <f t="shared" si="2"/>
        <v>1.74</v>
      </c>
      <c r="Z11" s="2">
        <f>IF(A11="","",1+IF(B11="백어택",설정!$B$4*L11,IF(B11="헤드어택",설정!$B$6*L11,0)))</f>
        <v>1</v>
      </c>
      <c r="AA11" s="1">
        <f>IF(A11="","",1+IF(B11="백어택",설정!$B$4,IF(B11="헤드어택",설정!$B$6,0)))</f>
        <v>1</v>
      </c>
      <c r="AB11" s="1">
        <f t="shared" si="3"/>
        <v>2.5401600000000002</v>
      </c>
      <c r="AC11" s="1">
        <f t="shared" si="4"/>
        <v>2.4400000000000004</v>
      </c>
      <c r="AD11" s="1">
        <f t="shared" si="5"/>
        <v>2.4364800000000004</v>
      </c>
      <c r="AE11" s="1">
        <f t="shared" si="6"/>
        <v>2.4400000000000004</v>
      </c>
      <c r="AF11" s="13">
        <v>3.1497984000000003</v>
      </c>
      <c r="AG11" s="13">
        <v>3.0256000000000003</v>
      </c>
      <c r="AH11" s="13">
        <v>3.0212352000000005</v>
      </c>
      <c r="AI11" s="13">
        <v>3.0256000000000003</v>
      </c>
      <c r="AJ11" s="1">
        <f t="shared" si="7"/>
        <v>16.207386479083866</v>
      </c>
      <c r="AK11" s="1">
        <f t="shared" si="8"/>
        <v>2.8299683520170822</v>
      </c>
      <c r="AL11" s="14">
        <f t="shared" si="9"/>
        <v>49.037068531116148</v>
      </c>
      <c r="AM11" s="14">
        <f t="shared" si="10"/>
        <v>8.5623522458628845</v>
      </c>
      <c r="AN11" s="1">
        <f>IF(AW11=1,IFERROR(IF(N11&gt;0,N11,IF(M11&gt;0,1,0))/통합_입력!$T$2*통합_입력!$L$2,0),0)</f>
        <v>1.8095238095238093</v>
      </c>
      <c r="AO11" s="14">
        <f t="shared" si="11"/>
        <v>88.7337430563054</v>
      </c>
      <c r="AP11" s="12">
        <f t="shared" si="12"/>
        <v>1.0410491803278688</v>
      </c>
      <c r="AQ11" s="12">
        <f t="shared" si="13"/>
        <v>0.99855737704918035</v>
      </c>
      <c r="AR11" s="12">
        <f t="shared" si="14"/>
        <v>0.55263157894736847</v>
      </c>
      <c r="AS11" s="12">
        <f t="shared" si="15"/>
        <v>0.5753166522864539</v>
      </c>
      <c r="AT11" s="12">
        <f t="shared" si="16"/>
        <v>0</v>
      </c>
      <c r="AU11" s="12">
        <f>IF(AW11=1,IFERROR((IF(I11&gt;0,I11,IF(H11&gt;0,1,0))/통합_입력!$L$2)/(IF(N11&gt;0,N11,IF(M11&gt;0,1,0))/통합_입력!$T$2),0),"")</f>
        <v>0.55263157894736847</v>
      </c>
      <c r="AV11" s="1" t="str">
        <f>통합_입력!I12</f>
        <v>룬/기타</v>
      </c>
      <c r="AW11" s="1">
        <f t="shared" si="17"/>
        <v>1</v>
      </c>
      <c r="AX11" s="1" t="str">
        <f t="shared" si="18"/>
        <v>포함</v>
      </c>
    </row>
    <row r="12" spans="1:50" ht="28.5">
      <c r="A12" s="2" t="str">
        <f>통합_입력!A13</f>
        <v>스킬룬 : 중독</v>
      </c>
      <c r="B12" s="2" t="str">
        <f>통합_입력!B13</f>
        <v>없음</v>
      </c>
      <c r="C12" s="18">
        <f>통합_입력!D13</f>
        <v>2.6</v>
      </c>
      <c r="D12" s="18">
        <f>통합_입력!E13</f>
        <v>0</v>
      </c>
      <c r="E12" s="18">
        <f>통합_입력!F13</f>
        <v>2.6</v>
      </c>
      <c r="F12" s="19">
        <f>통합_입력!G13</f>
        <v>0.5</v>
      </c>
      <c r="G12" s="2" t="str">
        <f>통합_입력!H13</f>
        <v>음속 돌파 24%</v>
      </c>
      <c r="H12" s="20">
        <f>통합_입력!K13</f>
        <v>48.13</v>
      </c>
      <c r="I12" s="2">
        <f>통합_입력!M13</f>
        <v>0</v>
      </c>
      <c r="J12" s="19">
        <f>통합_입력!N13</f>
        <v>0</v>
      </c>
      <c r="K12" s="19">
        <f>통합_입력!O13</f>
        <v>0.91590000000000005</v>
      </c>
      <c r="L12" s="19">
        <f>통합_입력!P13</f>
        <v>0</v>
      </c>
      <c r="M12" s="20">
        <f>통합_입력!S13</f>
        <v>9.44</v>
      </c>
      <c r="N12" s="2">
        <f>통합_입력!U13</f>
        <v>0</v>
      </c>
      <c r="O12" s="19">
        <f>통합_입력!V13</f>
        <v>0</v>
      </c>
      <c r="P12" s="19">
        <f>통합_입력!W13</f>
        <v>0.90659999999999996</v>
      </c>
      <c r="Q12" s="19">
        <f t="shared" si="0"/>
        <v>1</v>
      </c>
      <c r="R12" s="19">
        <f>IF(A12="","",MIN(1,설정!$B$8+IF(B12="백어택",설정!$B$5*L12,IF(B12="헤드어택",설정!$B$7*L12,0))))</f>
        <v>0.9</v>
      </c>
      <c r="S12" s="19">
        <f>IF(A12="","",MIN(1,설정!$B$8+IF(B12="백어택",설정!$B$5,IF(B12="헤드어택",설정!$B$7,0))))</f>
        <v>0.9</v>
      </c>
      <c r="T12" s="19">
        <f>IF(A12="","",IF(G12="뭉툭한가시",설정!$B$13,R12))</f>
        <v>0.9</v>
      </c>
      <c r="U12" s="19">
        <f>IF(A12="","",IF(G12="뭉툭한가시",설정!$B$13,S12))</f>
        <v>0.9</v>
      </c>
      <c r="V12" s="19">
        <f>IF(A12="","",IF(G12="뭉툭한가시",MAX(0,MIN(설정!$B$14,(R12-설정!$B$16)/(설정!$B$15-설정!$B$16)*설정!$B$14)),설정!$B$12))</f>
        <v>0.24</v>
      </c>
      <c r="W12" s="19">
        <f>IF(A12="","",IF(G12="뭉툭한가시",MAX(0,MIN(설정!$B$14,(S12-설정!$B$16)/(설정!$B$15-설정!$B$16)*설정!$B$14)),설정!$B$12))</f>
        <v>0.24</v>
      </c>
      <c r="X12" s="2">
        <f t="shared" si="1"/>
        <v>1.74</v>
      </c>
      <c r="Y12" s="2">
        <f t="shared" si="2"/>
        <v>1.74</v>
      </c>
      <c r="Z12" s="2">
        <f>IF(A12="","",1+IF(B12="백어택",설정!$B$4*L12,IF(B12="헤드어택",설정!$B$6*L12,0)))</f>
        <v>1</v>
      </c>
      <c r="AA12" s="1">
        <f>IF(A12="","",1+IF(B12="백어택",설정!$B$4,IF(B12="헤드어택",설정!$B$6,0)))</f>
        <v>1</v>
      </c>
      <c r="AB12" s="1">
        <f t="shared" si="3"/>
        <v>2.4654400000000001</v>
      </c>
      <c r="AC12" s="1">
        <f t="shared" si="4"/>
        <v>2.4400000000000004</v>
      </c>
      <c r="AD12" s="1">
        <f t="shared" si="5"/>
        <v>2.4505600000000003</v>
      </c>
      <c r="AE12" s="1">
        <f t="shared" si="6"/>
        <v>2.4400000000000004</v>
      </c>
      <c r="AF12" s="13">
        <v>3.0571456000000001</v>
      </c>
      <c r="AG12" s="13">
        <v>3.0256000000000003</v>
      </c>
      <c r="AH12" s="13">
        <v>3.0386944000000002</v>
      </c>
      <c r="AI12" s="13">
        <v>3.0256000000000003</v>
      </c>
      <c r="AJ12" s="1">
        <f t="shared" si="7"/>
        <v>15.743443818966293</v>
      </c>
      <c r="AK12" s="1">
        <f t="shared" si="8"/>
        <v>3.1065973597081689</v>
      </c>
      <c r="AL12" s="14">
        <f t="shared" si="9"/>
        <v>47.633363618664418</v>
      </c>
      <c r="AM12" s="14">
        <f t="shared" si="10"/>
        <v>9.3993209715330366</v>
      </c>
      <c r="AN12" s="1">
        <f>IF(AW12=1,IFERROR(IF(N12&gt;0,N12,IF(M12&gt;0,1,0))/통합_입력!$T$2*통합_입력!$L$2,0),0)</f>
        <v>1.8095238095238093</v>
      </c>
      <c r="AO12" s="14">
        <f t="shared" si="11"/>
        <v>86.193705595678466</v>
      </c>
      <c r="AP12" s="12">
        <f t="shared" si="12"/>
        <v>1.0104262295081967</v>
      </c>
      <c r="AQ12" s="12">
        <f t="shared" si="13"/>
        <v>1.0043278688524591</v>
      </c>
      <c r="AR12" s="12">
        <f t="shared" si="14"/>
        <v>0.55263157894736847</v>
      </c>
      <c r="AS12" s="12">
        <f t="shared" si="15"/>
        <v>0.55839344262295088</v>
      </c>
      <c r="AT12" s="12">
        <f t="shared" si="16"/>
        <v>0</v>
      </c>
      <c r="AU12" s="12">
        <f>IF(AW12=1,IFERROR((IF(I12&gt;0,I12,IF(H12&gt;0,1,0))/통합_입력!$L$2)/(IF(N12&gt;0,N12,IF(M12&gt;0,1,0))/통합_입력!$T$2),0),"")</f>
        <v>0.55263157894736847</v>
      </c>
      <c r="AV12" s="1" t="str">
        <f>통합_입력!I13</f>
        <v>룬/기타</v>
      </c>
      <c r="AW12" s="1">
        <f t="shared" si="17"/>
        <v>1</v>
      </c>
      <c r="AX12" s="1" t="str">
        <f t="shared" si="18"/>
        <v>포함</v>
      </c>
    </row>
    <row r="13" spans="1:50" ht="28.5">
      <c r="A13" s="2" t="str">
        <f>통합_입력!A14</f>
        <v>와일드 스톰프</v>
      </c>
      <c r="B13" s="2" t="str">
        <f>통합_입력!B14</f>
        <v>없음</v>
      </c>
      <c r="C13" s="18">
        <f>통합_입력!D14</f>
        <v>2.6</v>
      </c>
      <c r="D13" s="18">
        <f>통합_입력!E14</f>
        <v>0</v>
      </c>
      <c r="E13" s="18">
        <f>통합_입력!F14</f>
        <v>2.6</v>
      </c>
      <c r="F13" s="19">
        <f>통합_입력!G14</f>
        <v>0.5</v>
      </c>
      <c r="G13" s="2" t="str">
        <f>통합_입력!H14</f>
        <v>음속 돌파 24%</v>
      </c>
      <c r="H13" s="20">
        <f>통합_입력!K14</f>
        <v>43.64</v>
      </c>
      <c r="I13" s="2">
        <f>통합_입력!M14</f>
        <v>39</v>
      </c>
      <c r="J13" s="19">
        <f>통합_입력!N14</f>
        <v>0.92200000000000004</v>
      </c>
      <c r="K13" s="19">
        <f>통합_입력!O14</f>
        <v>0.93510000000000004</v>
      </c>
      <c r="L13" s="19">
        <f>통합_입력!P14</f>
        <v>0</v>
      </c>
      <c r="M13" s="20">
        <f>통합_입력!S14</f>
        <v>8.39</v>
      </c>
      <c r="N13" s="2">
        <f>통합_입력!U14</f>
        <v>23</v>
      </c>
      <c r="O13" s="19">
        <f>통합_입력!V14</f>
        <v>0.9657</v>
      </c>
      <c r="P13" s="19">
        <f>통합_입력!W14</f>
        <v>0.87339999999999995</v>
      </c>
      <c r="Q13" s="19">
        <f t="shared" si="0"/>
        <v>1</v>
      </c>
      <c r="R13" s="19">
        <f>IF(A13="","",MIN(1,설정!$B$8+IF(B13="백어택",설정!$B$5*L13,IF(B13="헤드어택",설정!$B$7*L13,0))))</f>
        <v>0.9</v>
      </c>
      <c r="S13" s="19">
        <f>IF(A13="","",MIN(1,설정!$B$8+IF(B13="백어택",설정!$B$5,IF(B13="헤드어택",설정!$B$7,0))))</f>
        <v>0.9</v>
      </c>
      <c r="T13" s="19">
        <f>IF(A13="","",IF(G13="뭉툭한가시",설정!$B$13,R13))</f>
        <v>0.9</v>
      </c>
      <c r="U13" s="19">
        <f>IF(A13="","",IF(G13="뭉툭한가시",설정!$B$13,S13))</f>
        <v>0.9</v>
      </c>
      <c r="V13" s="19">
        <f>IF(A13="","",IF(G13="뭉툭한가시",MAX(0,MIN(설정!$B$14,(R13-설정!$B$16)/(설정!$B$15-설정!$B$16)*설정!$B$14)),설정!$B$12))</f>
        <v>0.24</v>
      </c>
      <c r="W13" s="19">
        <f>IF(A13="","",IF(G13="뭉툭한가시",MAX(0,MIN(설정!$B$14,(S13-설정!$B$16)/(설정!$B$15-설정!$B$16)*설정!$B$14)),설정!$B$12))</f>
        <v>0.24</v>
      </c>
      <c r="X13" s="2">
        <f t="shared" si="1"/>
        <v>1.74</v>
      </c>
      <c r="Y13" s="2">
        <f t="shared" si="2"/>
        <v>1.74</v>
      </c>
      <c r="Z13" s="2">
        <f>IF(A13="","",1+IF(B13="백어택",설정!$B$4*L13,IF(B13="헤드어택",설정!$B$6*L13,0)))</f>
        <v>1</v>
      </c>
      <c r="AA13" s="1">
        <f>IF(A13="","",1+IF(B13="백어택",설정!$B$4,IF(B13="헤드어택",설정!$B$6,0)))</f>
        <v>1</v>
      </c>
      <c r="AB13" s="1">
        <f t="shared" si="3"/>
        <v>2.4961600000000002</v>
      </c>
      <c r="AC13" s="1">
        <f t="shared" si="4"/>
        <v>2.4400000000000004</v>
      </c>
      <c r="AD13" s="1">
        <f t="shared" si="5"/>
        <v>2.39744</v>
      </c>
      <c r="AE13" s="1">
        <f t="shared" si="6"/>
        <v>2.4400000000000004</v>
      </c>
      <c r="AF13" s="13">
        <v>3.0952384000000004</v>
      </c>
      <c r="AG13" s="13">
        <v>3.0256000000000003</v>
      </c>
      <c r="AH13" s="13">
        <v>2.9728256000000002</v>
      </c>
      <c r="AI13" s="13">
        <v>3.0256000000000003</v>
      </c>
      <c r="AJ13" s="1">
        <f t="shared" si="7"/>
        <v>0.36151475730410909</v>
      </c>
      <c r="AK13" s="1">
        <f t="shared" si="8"/>
        <v>0.12270568737555684</v>
      </c>
      <c r="AL13" s="14">
        <f t="shared" si="9"/>
        <v>42.658162938273193</v>
      </c>
      <c r="AM13" s="14">
        <f t="shared" si="10"/>
        <v>8.5389415376401505</v>
      </c>
      <c r="AN13" s="1">
        <f>IF(AW13=1,IFERROR(IF(N13&gt;0,N13,IF(M13&gt;0,1,0))/통합_입력!$T$2*통합_입력!$L$2,0),0)</f>
        <v>41.61904761904762</v>
      </c>
      <c r="AO13" s="14">
        <f t="shared" si="11"/>
        <v>45.522874735104722</v>
      </c>
      <c r="AP13" s="12">
        <f t="shared" si="12"/>
        <v>1.0230163934426229</v>
      </c>
      <c r="AQ13" s="12">
        <f t="shared" si="13"/>
        <v>0.98255737704918023</v>
      </c>
      <c r="AR13" s="12">
        <f t="shared" si="14"/>
        <v>0.93707093821510312</v>
      </c>
      <c r="AS13" s="12">
        <f t="shared" si="15"/>
        <v>0.95863893161270963</v>
      </c>
      <c r="AT13" s="12">
        <f t="shared" si="16"/>
        <v>0.95474785129957551</v>
      </c>
      <c r="AU13" s="12">
        <f>IF(AW13=1,IFERROR((IF(I13&gt;0,I13,IF(H13&gt;0,1,0))/통합_입력!$L$2)/(IF(N13&gt;0,N13,IF(M13&gt;0,1,0))/통합_입력!$T$2),0),"")</f>
        <v>0.93707093821510301</v>
      </c>
      <c r="AV13" s="1" t="str">
        <f>통합_입력!I14</f>
        <v>보조딜</v>
      </c>
      <c r="AW13" s="1">
        <f t="shared" si="17"/>
        <v>1</v>
      </c>
      <c r="AX13" s="1" t="str">
        <f t="shared" si="18"/>
        <v>포함</v>
      </c>
    </row>
    <row r="14" spans="1:50" ht="28.5">
      <c r="A14" s="2" t="str">
        <f>통합_입력!A15</f>
        <v>라그나 브레이크</v>
      </c>
      <c r="B14" s="2" t="str">
        <f>통합_입력!B15</f>
        <v>없음</v>
      </c>
      <c r="C14" s="18">
        <f>통합_입력!D15</f>
        <v>2.6</v>
      </c>
      <c r="D14" s="18">
        <f>통합_입력!E15</f>
        <v>0</v>
      </c>
      <c r="E14" s="18">
        <f>통합_입력!F15</f>
        <v>2.6</v>
      </c>
      <c r="F14" s="19">
        <f>통합_입력!G15</f>
        <v>0.5</v>
      </c>
      <c r="G14" s="2" t="str">
        <f>통합_입력!H15</f>
        <v>음속 돌파 24%</v>
      </c>
      <c r="H14" s="20">
        <f>통합_입력!K15</f>
        <v>43.35</v>
      </c>
      <c r="I14" s="2">
        <f>통합_입력!M15</f>
        <v>1</v>
      </c>
      <c r="J14" s="19">
        <f>통합_입력!N15</f>
        <v>0.59440000000000004</v>
      </c>
      <c r="K14" s="19">
        <f>통합_입력!O15</f>
        <v>1</v>
      </c>
      <c r="L14" s="19">
        <f>통합_입력!P15</f>
        <v>0</v>
      </c>
      <c r="M14" s="20">
        <f>통합_입력!S15</f>
        <v>0</v>
      </c>
      <c r="N14" s="2">
        <f>통합_입력!U15</f>
        <v>0</v>
      </c>
      <c r="O14" s="19">
        <f>통합_입력!V15</f>
        <v>0</v>
      </c>
      <c r="P14" s="19">
        <f>통합_입력!W15</f>
        <v>0</v>
      </c>
      <c r="Q14" s="19">
        <f t="shared" si="0"/>
        <v>1</v>
      </c>
      <c r="R14" s="19">
        <f>IF(A14="","",MIN(1,설정!$B$8+IF(B14="백어택",설정!$B$5*L14,IF(B14="헤드어택",설정!$B$7*L14,0))))</f>
        <v>0.9</v>
      </c>
      <c r="S14" s="19">
        <f>IF(A14="","",MIN(1,설정!$B$8+IF(B14="백어택",설정!$B$5,IF(B14="헤드어택",설정!$B$7,0))))</f>
        <v>0.9</v>
      </c>
      <c r="T14" s="19">
        <f>IF(A14="","",IF(G14="뭉툭한가시",설정!$B$13,R14))</f>
        <v>0.9</v>
      </c>
      <c r="U14" s="19">
        <f>IF(A14="","",IF(G14="뭉툭한가시",설정!$B$13,S14))</f>
        <v>0.9</v>
      </c>
      <c r="V14" s="19">
        <f>IF(A14="","",IF(G14="뭉툭한가시",MAX(0,MIN(설정!$B$14,(R14-설정!$B$16)/(설정!$B$15-설정!$B$16)*설정!$B$14)),설정!$B$12))</f>
        <v>0.24</v>
      </c>
      <c r="W14" s="19">
        <f>IF(A14="","",IF(G14="뭉툭한가시",MAX(0,MIN(설정!$B$14,(S14-설정!$B$16)/(설정!$B$15-설정!$B$16)*설정!$B$14)),설정!$B$12))</f>
        <v>0.24</v>
      </c>
      <c r="X14" s="2">
        <f t="shared" si="1"/>
        <v>1.74</v>
      </c>
      <c r="Y14" s="2">
        <f t="shared" si="2"/>
        <v>1.74</v>
      </c>
      <c r="Z14" s="2">
        <f>IF(A14="","",1+IF(B14="백어택",설정!$B$4*L14,IF(B14="헤드어택",설정!$B$6*L14,0)))</f>
        <v>1</v>
      </c>
      <c r="AA14" s="1">
        <f>IF(A14="","",1+IF(B14="백어택",설정!$B$4,IF(B14="헤드어택",설정!$B$6,0)))</f>
        <v>1</v>
      </c>
      <c r="AB14" s="1">
        <f t="shared" si="3"/>
        <v>2.6</v>
      </c>
      <c r="AC14" s="1">
        <f t="shared" si="4"/>
        <v>2.4400000000000004</v>
      </c>
      <c r="AD14" s="1">
        <f t="shared" si="5"/>
        <v>1</v>
      </c>
      <c r="AE14" s="1">
        <f t="shared" si="6"/>
        <v>2.4400000000000004</v>
      </c>
      <c r="AF14" s="13">
        <v>3.2240000000000002</v>
      </c>
      <c r="AG14" s="13">
        <v>3.0256000000000003</v>
      </c>
      <c r="AH14" s="13">
        <v>3.0256000000000003</v>
      </c>
      <c r="AI14" s="13">
        <v>3.0256000000000003</v>
      </c>
      <c r="AJ14" s="1">
        <f t="shared" si="7"/>
        <v>13.446029776674937</v>
      </c>
      <c r="AK14" s="1">
        <f t="shared" si="8"/>
        <v>0</v>
      </c>
      <c r="AL14" s="14">
        <f t="shared" si="9"/>
        <v>40.682307692307695</v>
      </c>
      <c r="AM14" s="14">
        <f t="shared" si="10"/>
        <v>0</v>
      </c>
      <c r="AN14" s="1">
        <f>IF(AW14=1,IFERROR(IF(N14&gt;0,N14,IF(M14&gt;0,1,0))/통합_입력!$T$2*통합_입력!$L$2,0),0)</f>
        <v>0</v>
      </c>
      <c r="AO14" s="14">
        <f t="shared" si="11"/>
        <v>0</v>
      </c>
      <c r="AP14" s="12" t="str">
        <f t="shared" si="12"/>
        <v/>
      </c>
      <c r="AQ14" s="12" t="str">
        <f t="shared" si="13"/>
        <v/>
      </c>
      <c r="AR14" s="12" t="str">
        <f t="shared" si="14"/>
        <v/>
      </c>
      <c r="AS14" s="12" t="str">
        <f t="shared" si="15"/>
        <v/>
      </c>
      <c r="AT14" s="12" t="str">
        <f t="shared" si="16"/>
        <v/>
      </c>
      <c r="AU14" s="12" t="str">
        <f>IF(AW14=1,IFERROR((IF(I14&gt;0,I14,IF(H14&gt;0,1,0))/통합_입력!$L$2)/(IF(N14&gt;0,N14,IF(M14&gt;0,1,0))/통합_입력!$T$2),0),"")</f>
        <v/>
      </c>
      <c r="AV14" s="1" t="str">
        <f>통합_입력!I15</f>
        <v>주딜기</v>
      </c>
      <c r="AW14" s="1">
        <f t="shared" si="17"/>
        <v>0</v>
      </c>
      <c r="AX14" s="1" t="str">
        <f t="shared" si="18"/>
        <v>허수 미사용/피해 없음</v>
      </c>
    </row>
    <row r="15" spans="1:50" ht="28.5">
      <c r="A15" s="2" t="str">
        <f>통합_입력!A16</f>
        <v>기타</v>
      </c>
      <c r="B15" s="2" t="str">
        <f>통합_입력!B16</f>
        <v>없음</v>
      </c>
      <c r="C15" s="18">
        <f>통합_입력!D16</f>
        <v>2.6</v>
      </c>
      <c r="D15" s="18">
        <f>통합_입력!E16</f>
        <v>0</v>
      </c>
      <c r="E15" s="18">
        <f>통합_입력!F16</f>
        <v>2.6</v>
      </c>
      <c r="F15" s="19">
        <f>통합_입력!G16</f>
        <v>0.5</v>
      </c>
      <c r="G15" s="2" t="str">
        <f>통합_입력!H16</f>
        <v>음속 돌파 24%</v>
      </c>
      <c r="H15" s="20">
        <f>통합_입력!K16</f>
        <v>35.020000000000003</v>
      </c>
      <c r="I15" s="2">
        <f>통합_입력!M16</f>
        <v>0</v>
      </c>
      <c r="J15" s="19">
        <f>통합_입력!N16</f>
        <v>0</v>
      </c>
      <c r="K15" s="19">
        <f>통합_입력!O16</f>
        <v>0.90449999999999997</v>
      </c>
      <c r="L15" s="19">
        <f>통합_입력!P16</f>
        <v>0</v>
      </c>
      <c r="M15" s="20">
        <f>통합_입력!S16</f>
        <v>6.22</v>
      </c>
      <c r="N15" s="2">
        <f>통합_입력!U16</f>
        <v>0</v>
      </c>
      <c r="O15" s="19">
        <f>통합_입력!V16</f>
        <v>0</v>
      </c>
      <c r="P15" s="19">
        <f>통합_입력!W16</f>
        <v>0.91010000000000002</v>
      </c>
      <c r="Q15" s="19">
        <f t="shared" si="0"/>
        <v>1</v>
      </c>
      <c r="R15" s="19">
        <f>IF(A15="","",MIN(1,설정!$B$8+IF(B15="백어택",설정!$B$5*L15,IF(B15="헤드어택",설정!$B$7*L15,0))))</f>
        <v>0.9</v>
      </c>
      <c r="S15" s="19">
        <f>IF(A15="","",MIN(1,설정!$B$8+IF(B15="백어택",설정!$B$5,IF(B15="헤드어택",설정!$B$7,0))))</f>
        <v>0.9</v>
      </c>
      <c r="T15" s="19">
        <f>IF(A15="","",IF(G15="뭉툭한가시",설정!$B$13,R15))</f>
        <v>0.9</v>
      </c>
      <c r="U15" s="19">
        <f>IF(A15="","",IF(G15="뭉툭한가시",설정!$B$13,S15))</f>
        <v>0.9</v>
      </c>
      <c r="V15" s="19">
        <f>IF(A15="","",IF(G15="뭉툭한가시",MAX(0,MIN(설정!$B$14,(R15-설정!$B$16)/(설정!$B$15-설정!$B$16)*설정!$B$14)),설정!$B$12))</f>
        <v>0.24</v>
      </c>
      <c r="W15" s="19">
        <f>IF(A15="","",IF(G15="뭉툭한가시",MAX(0,MIN(설정!$B$14,(S15-설정!$B$16)/(설정!$B$15-설정!$B$16)*설정!$B$14)),설정!$B$12))</f>
        <v>0.24</v>
      </c>
      <c r="X15" s="2">
        <f t="shared" si="1"/>
        <v>1.74</v>
      </c>
      <c r="Y15" s="2">
        <f t="shared" si="2"/>
        <v>1.74</v>
      </c>
      <c r="Z15" s="2">
        <f>IF(A15="","",1+IF(B15="백어택",설정!$B$4*L15,IF(B15="헤드어택",설정!$B$6*L15,0)))</f>
        <v>1</v>
      </c>
      <c r="AA15" s="1">
        <f>IF(A15="","",1+IF(B15="백어택",설정!$B$4,IF(B15="헤드어택",설정!$B$6,0)))</f>
        <v>1</v>
      </c>
      <c r="AB15" s="1">
        <f t="shared" si="3"/>
        <v>2.4472</v>
      </c>
      <c r="AC15" s="1">
        <f t="shared" si="4"/>
        <v>2.4400000000000004</v>
      </c>
      <c r="AD15" s="1">
        <f t="shared" si="5"/>
        <v>2.4561600000000001</v>
      </c>
      <c r="AE15" s="1">
        <f t="shared" si="6"/>
        <v>2.4400000000000004</v>
      </c>
      <c r="AF15" s="13">
        <v>3.0345279999999999</v>
      </c>
      <c r="AG15" s="13">
        <v>3.0256000000000003</v>
      </c>
      <c r="AH15" s="13">
        <v>3.0456384000000001</v>
      </c>
      <c r="AI15" s="13">
        <v>3.0256000000000003</v>
      </c>
      <c r="AJ15" s="1">
        <f t="shared" si="7"/>
        <v>11.540509759672675</v>
      </c>
      <c r="AK15" s="1">
        <f t="shared" si="8"/>
        <v>2.0422647678726404</v>
      </c>
      <c r="AL15" s="14">
        <f t="shared" si="9"/>
        <v>34.916966328865648</v>
      </c>
      <c r="AM15" s="14">
        <f t="shared" si="10"/>
        <v>6.1790762816754619</v>
      </c>
      <c r="AN15" s="1">
        <f>IF(AW15=1,IFERROR(IF(N15&gt;0,N15,IF(M15&gt;0,1,0))/통합_입력!$T$2*통합_입력!$L$2,0),0)</f>
        <v>1.8095238095238093</v>
      </c>
      <c r="AO15" s="14">
        <f t="shared" si="11"/>
        <v>63.183081928423547</v>
      </c>
      <c r="AP15" s="12">
        <f t="shared" si="12"/>
        <v>1.0029508196721311</v>
      </c>
      <c r="AQ15" s="12">
        <f t="shared" si="13"/>
        <v>1.006622950819672</v>
      </c>
      <c r="AR15" s="12">
        <f t="shared" si="14"/>
        <v>0.55263157894736847</v>
      </c>
      <c r="AS15" s="12">
        <f t="shared" si="15"/>
        <v>0.55426229508196723</v>
      </c>
      <c r="AT15" s="12">
        <f t="shared" si="16"/>
        <v>0</v>
      </c>
      <c r="AU15" s="12">
        <f>IF(AW15=1,IFERROR((IF(I15&gt;0,I15,IF(H15&gt;0,1,0))/통합_입력!$L$2)/(IF(N15&gt;0,N15,IF(M15&gt;0,1,0))/통합_입력!$T$2),0),"")</f>
        <v>0.55263157894736847</v>
      </c>
      <c r="AV15" s="1" t="str">
        <f>통합_입력!I16</f>
        <v>룬/기타</v>
      </c>
      <c r="AW15" s="1">
        <f t="shared" si="17"/>
        <v>1</v>
      </c>
      <c r="AX15" s="1" t="str">
        <f t="shared" si="18"/>
        <v>포함</v>
      </c>
    </row>
    <row r="16" spans="1:50" ht="28.5">
      <c r="A16" s="2" t="str">
        <f>통합_입력!A17</f>
        <v>와일드 러시</v>
      </c>
      <c r="B16" s="2" t="str">
        <f>통합_입력!B17</f>
        <v>없음</v>
      </c>
      <c r="C16" s="18">
        <f>통합_입력!D17</f>
        <v>2.6</v>
      </c>
      <c r="D16" s="18">
        <f>통합_입력!E17</f>
        <v>0</v>
      </c>
      <c r="E16" s="18">
        <f>통합_입력!F17</f>
        <v>2.6</v>
      </c>
      <c r="F16" s="19">
        <f>통합_입력!G17</f>
        <v>0.5</v>
      </c>
      <c r="G16" s="2" t="str">
        <f>통합_입력!H17</f>
        <v>음속 돌파 24%</v>
      </c>
      <c r="H16" s="20">
        <f>통합_입력!K17</f>
        <v>32.29</v>
      </c>
      <c r="I16" s="2">
        <f>통합_입력!M17</f>
        <v>31</v>
      </c>
      <c r="J16" s="19">
        <f>통합_입력!N17</f>
        <v>0.84950000000000003</v>
      </c>
      <c r="K16" s="19">
        <f>통합_입력!O17</f>
        <v>0.92500000000000004</v>
      </c>
      <c r="L16" s="19">
        <f>통합_입력!P17</f>
        <v>0</v>
      </c>
      <c r="M16" s="20">
        <f>통합_입력!S17</f>
        <v>8</v>
      </c>
      <c r="N16" s="2">
        <f>통합_입력!U17</f>
        <v>20</v>
      </c>
      <c r="O16" s="19">
        <f>통합_입력!V17</f>
        <v>0.96509999999999996</v>
      </c>
      <c r="P16" s="19">
        <f>통합_입력!W17</f>
        <v>0.90900000000000003</v>
      </c>
      <c r="Q16" s="19">
        <f t="shared" si="0"/>
        <v>1</v>
      </c>
      <c r="R16" s="19">
        <f>IF(A16="","",MIN(1,설정!$B$8+IF(B16="백어택",설정!$B$5*L16,IF(B16="헤드어택",설정!$B$7*L16,0))))</f>
        <v>0.9</v>
      </c>
      <c r="S16" s="19">
        <f>IF(A16="","",MIN(1,설정!$B$8+IF(B16="백어택",설정!$B$5,IF(B16="헤드어택",설정!$B$7,0))))</f>
        <v>0.9</v>
      </c>
      <c r="T16" s="19">
        <f>IF(A16="","",IF(G16="뭉툭한가시",설정!$B$13,R16))</f>
        <v>0.9</v>
      </c>
      <c r="U16" s="19">
        <f>IF(A16="","",IF(G16="뭉툭한가시",설정!$B$13,S16))</f>
        <v>0.9</v>
      </c>
      <c r="V16" s="19">
        <f>IF(A16="","",IF(G16="뭉툭한가시",MAX(0,MIN(설정!$B$14,(R16-설정!$B$16)/(설정!$B$15-설정!$B$16)*설정!$B$14)),설정!$B$12))</f>
        <v>0.24</v>
      </c>
      <c r="W16" s="19">
        <f>IF(A16="","",IF(G16="뭉툭한가시",MAX(0,MIN(설정!$B$14,(S16-설정!$B$16)/(설정!$B$15-설정!$B$16)*설정!$B$14)),설정!$B$12))</f>
        <v>0.24</v>
      </c>
      <c r="X16" s="2">
        <f t="shared" si="1"/>
        <v>1.74</v>
      </c>
      <c r="Y16" s="2">
        <f t="shared" si="2"/>
        <v>1.74</v>
      </c>
      <c r="Z16" s="2">
        <f>IF(A16="","",1+IF(B16="백어택",설정!$B$4*L16,IF(B16="헤드어택",설정!$B$6*L16,0)))</f>
        <v>1</v>
      </c>
      <c r="AA16" s="1">
        <f>IF(A16="","",1+IF(B16="백어택",설정!$B$4,IF(B16="헤드어택",설정!$B$6,0)))</f>
        <v>1</v>
      </c>
      <c r="AB16" s="1">
        <f t="shared" si="3"/>
        <v>2.4800000000000004</v>
      </c>
      <c r="AC16" s="1">
        <f t="shared" si="4"/>
        <v>2.4400000000000004</v>
      </c>
      <c r="AD16" s="1">
        <f t="shared" si="5"/>
        <v>2.4544000000000001</v>
      </c>
      <c r="AE16" s="1">
        <f t="shared" si="6"/>
        <v>2.4400000000000004</v>
      </c>
      <c r="AF16" s="13">
        <v>3.0752000000000006</v>
      </c>
      <c r="AG16" s="13">
        <v>3.0256000000000003</v>
      </c>
      <c r="AH16" s="13">
        <v>3.0434559999999999</v>
      </c>
      <c r="AI16" s="13">
        <v>3.0256000000000003</v>
      </c>
      <c r="AJ16" s="1">
        <f t="shared" si="7"/>
        <v>0.33871387331744479</v>
      </c>
      <c r="AK16" s="1">
        <f t="shared" si="8"/>
        <v>0.1314295327417252</v>
      </c>
      <c r="AL16" s="14">
        <f t="shared" si="9"/>
        <v>31.76919354838709</v>
      </c>
      <c r="AM16" s="14">
        <f t="shared" si="10"/>
        <v>7.9530638852672757</v>
      </c>
      <c r="AN16" s="1">
        <f>IF(AW16=1,IFERROR(IF(N16&gt;0,N16,IF(M16&gt;0,1,0))/통합_입력!$T$2*통합_입력!$L$2,0),0)</f>
        <v>36.19047619047619</v>
      </c>
      <c r="AO16" s="14">
        <f t="shared" si="11"/>
        <v>37.088459442049448</v>
      </c>
      <c r="AP16" s="12">
        <f t="shared" si="12"/>
        <v>1.0163934426229511</v>
      </c>
      <c r="AQ16" s="12">
        <f t="shared" si="13"/>
        <v>1.0059016393442621</v>
      </c>
      <c r="AR16" s="12">
        <f t="shared" si="14"/>
        <v>0.856578947368421</v>
      </c>
      <c r="AS16" s="12">
        <f t="shared" si="15"/>
        <v>0.87062122519413299</v>
      </c>
      <c r="AT16" s="12">
        <f t="shared" si="16"/>
        <v>0.88021966635581816</v>
      </c>
      <c r="AU16" s="12">
        <f>IF(AW16=1,IFERROR((IF(I16&gt;0,I16,IF(H16&gt;0,1,0))/통합_입력!$L$2)/(IF(N16&gt;0,N16,IF(M16&gt;0,1,0))/통합_입력!$T$2),0),"")</f>
        <v>0.85657894736842111</v>
      </c>
      <c r="AV16" s="1" t="str">
        <f>통합_입력!I17</f>
        <v>이동/카운터</v>
      </c>
      <c r="AW16" s="1">
        <f t="shared" si="17"/>
        <v>1</v>
      </c>
      <c r="AX16" s="1" t="str">
        <f t="shared" si="18"/>
        <v>포함</v>
      </c>
    </row>
    <row r="17" spans="1:50" ht="28.5">
      <c r="A17" s="2" t="str">
        <f>통합_입력!A18</f>
        <v>맥스웰 맥시마</v>
      </c>
      <c r="B17" s="2" t="str">
        <f>통합_입력!B18</f>
        <v>없음</v>
      </c>
      <c r="C17" s="18">
        <f>통합_입력!D18</f>
        <v>2.6</v>
      </c>
      <c r="D17" s="18">
        <f>통합_입력!E18</f>
        <v>0</v>
      </c>
      <c r="E17" s="18">
        <f>통합_입력!F18</f>
        <v>2.6</v>
      </c>
      <c r="F17" s="19">
        <f>통합_입력!G18</f>
        <v>0.5</v>
      </c>
      <c r="G17" s="2" t="str">
        <f>통합_입력!H18</f>
        <v>음속 돌파 24%</v>
      </c>
      <c r="H17" s="20">
        <f>통합_입력!K18</f>
        <v>27.21</v>
      </c>
      <c r="I17" s="2">
        <f>통합_입력!M18</f>
        <v>0</v>
      </c>
      <c r="J17" s="19">
        <f>통합_입력!N18</f>
        <v>0</v>
      </c>
      <c r="K17" s="19">
        <f>통합_입력!O18</f>
        <v>0</v>
      </c>
      <c r="L17" s="19">
        <f>통합_입력!P18</f>
        <v>0</v>
      </c>
      <c r="M17" s="20">
        <f>통합_입력!S18</f>
        <v>17.440000000000001</v>
      </c>
      <c r="N17" s="2">
        <f>통합_입력!U18</f>
        <v>0</v>
      </c>
      <c r="O17" s="19">
        <f>통합_입력!V18</f>
        <v>0</v>
      </c>
      <c r="P17" s="19">
        <f>통합_입력!W18</f>
        <v>0</v>
      </c>
      <c r="Q17" s="19">
        <f t="shared" si="0"/>
        <v>1</v>
      </c>
      <c r="R17" s="19">
        <f>IF(A17="","",MIN(1,설정!$B$8+IF(B17="백어택",설정!$B$5*L17,IF(B17="헤드어택",설정!$B$7*L17,0))))</f>
        <v>0.9</v>
      </c>
      <c r="S17" s="19">
        <f>IF(A17="","",MIN(1,설정!$B$8+IF(B17="백어택",설정!$B$5,IF(B17="헤드어택",설정!$B$7,0))))</f>
        <v>0.9</v>
      </c>
      <c r="T17" s="19">
        <f>IF(A17="","",IF(G17="뭉툭한가시",설정!$B$13,R17))</f>
        <v>0.9</v>
      </c>
      <c r="U17" s="19">
        <f>IF(A17="","",IF(G17="뭉툭한가시",설정!$B$13,S17))</f>
        <v>0.9</v>
      </c>
      <c r="V17" s="19">
        <f>IF(A17="","",IF(G17="뭉툭한가시",MAX(0,MIN(설정!$B$14,(R17-설정!$B$16)/(설정!$B$15-설정!$B$16)*설정!$B$14)),설정!$B$12))</f>
        <v>0.24</v>
      </c>
      <c r="W17" s="19">
        <f>IF(A17="","",IF(G17="뭉툭한가시",MAX(0,MIN(설정!$B$14,(S17-설정!$B$16)/(설정!$B$15-설정!$B$16)*설정!$B$14)),설정!$B$12))</f>
        <v>0.24</v>
      </c>
      <c r="X17" s="2">
        <f t="shared" si="1"/>
        <v>1.74</v>
      </c>
      <c r="Y17" s="2">
        <f t="shared" si="2"/>
        <v>1.74</v>
      </c>
      <c r="Z17" s="2">
        <f>IF(A17="","",1+IF(B17="백어택",설정!$B$4*L17,IF(B17="헤드어택",설정!$B$6*L17,0)))</f>
        <v>1</v>
      </c>
      <c r="AA17" s="1">
        <f>IF(A17="","",1+IF(B17="백어택",설정!$B$4,IF(B17="헤드어택",설정!$B$6,0)))</f>
        <v>1</v>
      </c>
      <c r="AB17" s="1">
        <f t="shared" si="3"/>
        <v>1</v>
      </c>
      <c r="AC17" s="1">
        <f t="shared" si="4"/>
        <v>2.4400000000000004</v>
      </c>
      <c r="AD17" s="1">
        <f t="shared" si="5"/>
        <v>1</v>
      </c>
      <c r="AE17" s="1">
        <f t="shared" si="6"/>
        <v>2.4400000000000004</v>
      </c>
      <c r="AF17" s="13">
        <v>3.0256000000000003</v>
      </c>
      <c r="AG17" s="13">
        <v>3.0256000000000003</v>
      </c>
      <c r="AH17" s="13">
        <v>3.0256000000000003</v>
      </c>
      <c r="AI17" s="13">
        <v>3.0256000000000003</v>
      </c>
      <c r="AJ17" s="1">
        <f t="shared" si="7"/>
        <v>8.993257535695399</v>
      </c>
      <c r="AK17" s="1">
        <f t="shared" si="8"/>
        <v>5.7641459545214175</v>
      </c>
      <c r="AL17" s="14">
        <f t="shared" si="9"/>
        <v>27.21</v>
      </c>
      <c r="AM17" s="14">
        <f t="shared" si="10"/>
        <v>17.440000000000001</v>
      </c>
      <c r="AN17" s="1">
        <f>IF(AW17=1,IFERROR(IF(N17&gt;0,N17,IF(M17&gt;0,1,0))/통합_입력!$T$2*통합_입력!$L$2,0),0)</f>
        <v>1.8095238095238093</v>
      </c>
      <c r="AO17" s="14">
        <f t="shared" si="11"/>
        <v>49.237142857142857</v>
      </c>
      <c r="AP17" s="12">
        <f t="shared" si="12"/>
        <v>1</v>
      </c>
      <c r="AQ17" s="12">
        <f t="shared" si="13"/>
        <v>1</v>
      </c>
      <c r="AR17" s="12">
        <f t="shared" si="14"/>
        <v>0.55263157894736847</v>
      </c>
      <c r="AS17" s="12">
        <f t="shared" si="15"/>
        <v>0.55263157894736847</v>
      </c>
      <c r="AT17" s="12">
        <f t="shared" si="16"/>
        <v>0</v>
      </c>
      <c r="AU17" s="12">
        <f>IF(AW17=1,IFERROR((IF(I17&gt;0,I17,IF(H17&gt;0,1,0))/통합_입력!$L$2)/(IF(N17&gt;0,N17,IF(M17&gt;0,1,0))/통합_입력!$T$2),0),"")</f>
        <v>0.55263157894736847</v>
      </c>
      <c r="AV17" s="1" t="str">
        <f>통합_입력!I18</f>
        <v>보조딜</v>
      </c>
      <c r="AW17" s="1">
        <f t="shared" si="17"/>
        <v>1</v>
      </c>
      <c r="AX17" s="1" t="str">
        <f t="shared" si="18"/>
        <v>포함</v>
      </c>
    </row>
    <row r="18" spans="1:50" ht="28.5">
      <c r="A18" s="2" t="str">
        <f>통합_입력!A19</f>
        <v>기본 공격</v>
      </c>
      <c r="B18" s="2" t="str">
        <f>통합_입력!B19</f>
        <v>없음</v>
      </c>
      <c r="C18" s="18">
        <f>통합_입력!D19</f>
        <v>2.6</v>
      </c>
      <c r="D18" s="18">
        <f>통합_입력!E19</f>
        <v>0</v>
      </c>
      <c r="E18" s="18">
        <f>통합_입력!F19</f>
        <v>2.6</v>
      </c>
      <c r="F18" s="19">
        <f>통합_입력!G19</f>
        <v>0.5</v>
      </c>
      <c r="G18" s="2" t="str">
        <f>통합_입력!H19</f>
        <v>음속 돌파 24%</v>
      </c>
      <c r="H18" s="20">
        <f>통합_입력!K19</f>
        <v>0</v>
      </c>
      <c r="I18" s="2">
        <f>통합_입력!M19</f>
        <v>0</v>
      </c>
      <c r="J18" s="19">
        <f>통합_입력!N19</f>
        <v>0</v>
      </c>
      <c r="K18" s="19">
        <f>통합_입력!O19</f>
        <v>0</v>
      </c>
      <c r="L18" s="19">
        <f>통합_입력!P19</f>
        <v>0</v>
      </c>
      <c r="M18" s="20">
        <f>통합_입력!S19</f>
        <v>5.73</v>
      </c>
      <c r="N18" s="2">
        <f>통합_입력!U19</f>
        <v>0</v>
      </c>
      <c r="O18" s="19">
        <f>통합_입력!V19</f>
        <v>0</v>
      </c>
      <c r="P18" s="19">
        <f>통합_입력!W19</f>
        <v>0.98729999999999996</v>
      </c>
      <c r="Q18" s="19">
        <f t="shared" si="0"/>
        <v>1</v>
      </c>
      <c r="R18" s="19">
        <f>IF(A18="","",MIN(1,설정!$B$8+IF(B18="백어택",설정!$B$5*L18,IF(B18="헤드어택",설정!$B$7*L18,0))))</f>
        <v>0.9</v>
      </c>
      <c r="S18" s="19">
        <f>IF(A18="","",MIN(1,설정!$B$8+IF(B18="백어택",설정!$B$5,IF(B18="헤드어택",설정!$B$7,0))))</f>
        <v>0.9</v>
      </c>
      <c r="T18" s="19">
        <f>IF(A18="","",IF(G18="뭉툭한가시",설정!$B$13,R18))</f>
        <v>0.9</v>
      </c>
      <c r="U18" s="19">
        <f>IF(A18="","",IF(G18="뭉툭한가시",설정!$B$13,S18))</f>
        <v>0.9</v>
      </c>
      <c r="V18" s="19">
        <f>IF(A18="","",IF(G18="뭉툭한가시",MAX(0,MIN(설정!$B$14,(R18-설정!$B$16)/(설정!$B$15-설정!$B$16)*설정!$B$14)),설정!$B$12))</f>
        <v>0.24</v>
      </c>
      <c r="W18" s="19">
        <f>IF(A18="","",IF(G18="뭉툭한가시",MAX(0,MIN(설정!$B$14,(S18-설정!$B$16)/(설정!$B$15-설정!$B$16)*설정!$B$14)),설정!$B$12))</f>
        <v>0.24</v>
      </c>
      <c r="X18" s="2">
        <f t="shared" si="1"/>
        <v>1.74</v>
      </c>
      <c r="Y18" s="2">
        <f t="shared" si="2"/>
        <v>1.74</v>
      </c>
      <c r="Z18" s="2">
        <f>IF(A18="","",1+IF(B18="백어택",설정!$B$4*L18,IF(B18="헤드어택",설정!$B$6*L18,0)))</f>
        <v>1</v>
      </c>
      <c r="AA18" s="1">
        <f>IF(A18="","",1+IF(B18="백어택",설정!$B$4,IF(B18="헤드어택",설정!$B$6,0)))</f>
        <v>1</v>
      </c>
      <c r="AB18" s="1">
        <f t="shared" si="3"/>
        <v>1</v>
      </c>
      <c r="AC18" s="1">
        <f t="shared" si="4"/>
        <v>2.4400000000000004</v>
      </c>
      <c r="AD18" s="1">
        <f t="shared" si="5"/>
        <v>2.5796799999999998</v>
      </c>
      <c r="AE18" s="1">
        <f t="shared" si="6"/>
        <v>2.4400000000000004</v>
      </c>
      <c r="AF18" s="13">
        <v>3.0256000000000003</v>
      </c>
      <c r="AG18" s="13">
        <v>3.0256000000000003</v>
      </c>
      <c r="AH18" s="13">
        <v>3.1988031999999995</v>
      </c>
      <c r="AI18" s="13">
        <v>3.0256000000000003</v>
      </c>
      <c r="AJ18" s="1">
        <f t="shared" si="7"/>
        <v>0</v>
      </c>
      <c r="AK18" s="1">
        <f t="shared" si="8"/>
        <v>1.7912949443091721</v>
      </c>
      <c r="AL18" s="14">
        <f t="shared" si="9"/>
        <v>0</v>
      </c>
      <c r="AM18" s="14">
        <f t="shared" si="10"/>
        <v>5.4197419835018321</v>
      </c>
      <c r="AN18" s="1">
        <f>IF(AW18=1,IFERROR(IF(N18&gt;0,N18,IF(M18&gt;0,1,0))/통합_입력!$T$2*통합_입력!$L$2,0),0)</f>
        <v>0</v>
      </c>
      <c r="AO18" s="14">
        <f t="shared" si="11"/>
        <v>0</v>
      </c>
      <c r="AP18" s="12" t="str">
        <f t="shared" si="12"/>
        <v/>
      </c>
      <c r="AQ18" s="12" t="str">
        <f t="shared" si="13"/>
        <v/>
      </c>
      <c r="AR18" s="12" t="str">
        <f t="shared" si="14"/>
        <v/>
      </c>
      <c r="AS18" s="12" t="str">
        <f t="shared" si="15"/>
        <v/>
      </c>
      <c r="AT18" s="12" t="str">
        <f t="shared" si="16"/>
        <v/>
      </c>
      <c r="AU18" s="12" t="str">
        <f>IF(AW18=1,IFERROR((IF(I18&gt;0,I18,IF(H18&gt;0,1,0))/통합_입력!$L$2)/(IF(N18&gt;0,N18,IF(M18&gt;0,1,0))/통합_입력!$T$2),0),"")</f>
        <v/>
      </c>
      <c r="AV18" s="1" t="str">
        <f>통합_입력!I19</f>
        <v>보조딜</v>
      </c>
      <c r="AW18" s="1">
        <f t="shared" si="17"/>
        <v>0</v>
      </c>
      <c r="AX18" s="1" t="str">
        <f t="shared" si="18"/>
        <v>실전 미사용/피해 없음</v>
      </c>
    </row>
    <row r="19" spans="1:50" ht="28.5">
      <c r="A19" s="2">
        <f>통합_입력!A20</f>
        <v>0</v>
      </c>
      <c r="B19" s="2">
        <f>통합_입력!B20</f>
        <v>0</v>
      </c>
      <c r="C19" s="18" t="str">
        <f>통합_입력!D20</f>
        <v/>
      </c>
      <c r="D19" s="18">
        <f>통합_입력!E20</f>
        <v>0</v>
      </c>
      <c r="E19" s="18" t="str">
        <f>통합_입력!F20</f>
        <v/>
      </c>
      <c r="F19" s="19" t="str">
        <f>통합_입력!G20</f>
        <v/>
      </c>
      <c r="G19" s="2" t="str">
        <f>통합_입력!H20</f>
        <v/>
      </c>
      <c r="H19" s="20">
        <f>통합_입력!K20</f>
        <v>0</v>
      </c>
      <c r="I19" s="2">
        <f>통합_입력!M20</f>
        <v>0</v>
      </c>
      <c r="J19" s="19">
        <f>통합_입력!N20</f>
        <v>0</v>
      </c>
      <c r="K19" s="19">
        <f>통합_입력!O20</f>
        <v>0</v>
      </c>
      <c r="L19" s="19">
        <f>통합_입력!P20</f>
        <v>0</v>
      </c>
      <c r="M19" s="20">
        <f>통합_입력!S20</f>
        <v>0</v>
      </c>
      <c r="N19" s="2">
        <f>통합_입력!U20</f>
        <v>0</v>
      </c>
      <c r="O19" s="19">
        <f>통합_입력!V20</f>
        <v>0</v>
      </c>
      <c r="P19" s="19">
        <f>통합_입력!W20</f>
        <v>0</v>
      </c>
      <c r="Q19" s="19">
        <f t="shared" si="0"/>
        <v>1</v>
      </c>
      <c r="R19" s="19">
        <f>IF(A19="","",MIN(1,설정!$B$8+IF(B19="백어택",설정!$B$5*L19,IF(B19="헤드어택",설정!$B$7*L19,0))))</f>
        <v>0.9</v>
      </c>
      <c r="S19" s="19">
        <f>IF(A19="","",MIN(1,설정!$B$8+IF(B19="백어택",설정!$B$5,IF(B19="헤드어택",설정!$B$7,0))))</f>
        <v>0.9</v>
      </c>
      <c r="T19" s="19">
        <f>IF(A19="","",IF(G19="뭉툭한가시",설정!$B$13,R19))</f>
        <v>0.9</v>
      </c>
      <c r="U19" s="19">
        <f>IF(A19="","",IF(G19="뭉툭한가시",설정!$B$13,S19))</f>
        <v>0.9</v>
      </c>
      <c r="V19" s="19">
        <f>IF(A19="","",IF(G19="뭉툭한가시",MAX(0,MIN(설정!$B$14,(R19-설정!$B$16)/(설정!$B$15-설정!$B$16)*설정!$B$14)),설정!$B$12))</f>
        <v>0.24</v>
      </c>
      <c r="W19" s="19">
        <f>IF(A19="","",IF(G19="뭉툭한가시",MAX(0,MIN(설정!$B$14,(S19-설정!$B$16)/(설정!$B$15-설정!$B$16)*설정!$B$14)),설정!$B$12))</f>
        <v>0.24</v>
      </c>
      <c r="X19" s="2" t="e">
        <f>IF(A19="","",1+F19+V19)</f>
        <v>#VALUE!</v>
      </c>
      <c r="Y19" s="2" t="e">
        <f>IF(A19="","",1+F19+W19)</f>
        <v>#VALUE!</v>
      </c>
      <c r="Z19" s="2">
        <f>IF(A19="","",1+IF(B19="백어택",설정!$B$4*L19,IF(B19="헤드어택",설정!$B$6*L19,0)))</f>
        <v>1</v>
      </c>
      <c r="AA19" s="1">
        <f>IF(A19="","",1+IF(B19="백어택",설정!$B$4,IF(B19="헤드어택",설정!$B$6,0)))</f>
        <v>1</v>
      </c>
      <c r="AB19" s="1" t="e">
        <f>IF(A19="","",1+IF(K19="",T19,K19)*(E19-1))</f>
        <v>#VALUE!</v>
      </c>
      <c r="AC19" s="1" t="e">
        <f t="shared" si="4"/>
        <v>#VALUE!</v>
      </c>
      <c r="AD19" s="1" t="e">
        <f t="shared" si="5"/>
        <v>#VALUE!</v>
      </c>
      <c r="AE19" s="1" t="e">
        <f t="shared" si="6"/>
        <v>#VALUE!</v>
      </c>
      <c r="AF19" s="13"/>
      <c r="AG19" s="13"/>
      <c r="AH19" s="13"/>
      <c r="AI19" s="13"/>
      <c r="AJ19" s="1">
        <f t="shared" si="7"/>
        <v>0</v>
      </c>
      <c r="AK19" s="1">
        <f t="shared" si="8"/>
        <v>0</v>
      </c>
      <c r="AL19" s="14">
        <f t="shared" si="9"/>
        <v>0</v>
      </c>
      <c r="AM19" s="14">
        <f t="shared" si="10"/>
        <v>0</v>
      </c>
      <c r="AN19" s="1">
        <f>IF(AW19=1,IFERROR(IF(N19&gt;0,N19,IF(M19&gt;0,1,0))/통합_입력!$T$2*통합_입력!$L$2,0),0)</f>
        <v>0</v>
      </c>
      <c r="AO19" s="14">
        <f t="shared" si="11"/>
        <v>0</v>
      </c>
      <c r="AP19" s="12" t="str">
        <f t="shared" si="12"/>
        <v/>
      </c>
      <c r="AQ19" s="12" t="str">
        <f t="shared" si="13"/>
        <v/>
      </c>
      <c r="AR19" s="12" t="str">
        <f t="shared" si="14"/>
        <v/>
      </c>
      <c r="AS19" s="12" t="str">
        <f t="shared" si="15"/>
        <v/>
      </c>
      <c r="AT19" s="12" t="str">
        <f t="shared" si="16"/>
        <v/>
      </c>
      <c r="AU19" s="12" t="str">
        <f>IF(AW19=1,IFERROR((IF(I19&gt;0,I19,IF(H19&gt;0,1,0))/통합_입력!$L$2)/(IF(N19&gt;0,N19,IF(M19&gt;0,1,0))/통합_입력!$T$2),0),"")</f>
        <v/>
      </c>
      <c r="AV19" s="1">
        <f>통합_입력!I20</f>
        <v>0</v>
      </c>
      <c r="AW19" s="1">
        <f t="shared" si="17"/>
        <v>0</v>
      </c>
      <c r="AX19" s="1" t="str">
        <f t="shared" si="18"/>
        <v>실전 미사용/피해 없음</v>
      </c>
    </row>
    <row r="20" spans="1:50" ht="28.5">
      <c r="A20" s="2">
        <f>통합_입력!A21</f>
        <v>0</v>
      </c>
      <c r="B20" s="2">
        <f>통합_입력!B21</f>
        <v>0</v>
      </c>
      <c r="C20" s="18" t="str">
        <f>통합_입력!D21</f>
        <v/>
      </c>
      <c r="D20" s="18">
        <f>통합_입력!E21</f>
        <v>0</v>
      </c>
      <c r="E20" s="18" t="str">
        <f>통합_입력!F21</f>
        <v/>
      </c>
      <c r="F20" s="19" t="str">
        <f>통합_입력!G21</f>
        <v/>
      </c>
      <c r="G20" s="2" t="str">
        <f>통합_입력!H21</f>
        <v/>
      </c>
      <c r="H20" s="20">
        <f>통합_입력!K21</f>
        <v>0</v>
      </c>
      <c r="I20" s="2">
        <f>통합_입력!M21</f>
        <v>0</v>
      </c>
      <c r="J20" s="19">
        <f>통합_입력!N21</f>
        <v>0</v>
      </c>
      <c r="K20" s="19">
        <f>통합_입력!O21</f>
        <v>0</v>
      </c>
      <c r="L20" s="19">
        <f>통합_입력!P21</f>
        <v>0</v>
      </c>
      <c r="M20" s="20">
        <f>통합_입력!S21</f>
        <v>0</v>
      </c>
      <c r="N20" s="2">
        <f>통합_입력!U21</f>
        <v>0</v>
      </c>
      <c r="O20" s="19">
        <f>통합_입력!V21</f>
        <v>0</v>
      </c>
      <c r="P20" s="19">
        <f>통합_입력!W21</f>
        <v>0</v>
      </c>
      <c r="Q20" s="19">
        <f t="shared" si="0"/>
        <v>1</v>
      </c>
      <c r="R20" s="19">
        <f>IF(A20="","",MIN(1,설정!$B$8+IF(B20="백어택",설정!$B$5*L20,IF(B20="헤드어택",설정!$B$7*L20,0))))</f>
        <v>0.9</v>
      </c>
      <c r="S20" s="19">
        <f>IF(A20="","",MIN(1,설정!$B$8+IF(B20="백어택",설정!$B$5,IF(B20="헤드어택",설정!$B$7,0))))</f>
        <v>0.9</v>
      </c>
      <c r="T20" s="19">
        <f>IF(A20="","",IF(G20="뭉툭한가시",설정!$B$13,R20))</f>
        <v>0.9</v>
      </c>
      <c r="U20" s="19">
        <f>IF(A20="","",IF(G20="뭉툭한가시",설정!$B$13,S20))</f>
        <v>0.9</v>
      </c>
      <c r="V20" s="19">
        <f>IF(A20="","",IF(G20="뭉툭한가시",MAX(0,MIN(설정!$B$14,(R20-설정!$B$16)/(설정!$B$15-설정!$B$16)*설정!$B$14)),설정!$B$12))</f>
        <v>0.24</v>
      </c>
      <c r="W20" s="19">
        <f>IF(A20="","",IF(G20="뭉툭한가시",MAX(0,MIN(설정!$B$14,(S20-설정!$B$16)/(설정!$B$15-설정!$B$16)*설정!$B$14)),설정!$B$12))</f>
        <v>0.24</v>
      </c>
      <c r="X20" s="2" t="e">
        <f t="shared" si="1"/>
        <v>#VALUE!</v>
      </c>
      <c r="Y20" s="2" t="e">
        <f t="shared" si="2"/>
        <v>#VALUE!</v>
      </c>
      <c r="Z20" s="2">
        <f>IF(A20="","",1+IF(B20="백어택",설정!$B$4*L20,IF(B20="헤드어택",설정!$B$6*L20,0)))</f>
        <v>1</v>
      </c>
      <c r="AA20" s="1">
        <f>IF(A20="","",1+IF(B20="백어택",설정!$B$4,IF(B20="헤드어택",설정!$B$6,0)))</f>
        <v>1</v>
      </c>
      <c r="AB20" s="1" t="e">
        <f t="shared" si="3"/>
        <v>#VALUE!</v>
      </c>
      <c r="AC20" s="1" t="e">
        <f t="shared" si="4"/>
        <v>#VALUE!</v>
      </c>
      <c r="AD20" s="1" t="e">
        <f t="shared" si="5"/>
        <v>#VALUE!</v>
      </c>
      <c r="AE20" s="1" t="e">
        <f t="shared" si="6"/>
        <v>#VALUE!</v>
      </c>
      <c r="AF20" s="13"/>
      <c r="AG20" s="13"/>
      <c r="AH20" s="13"/>
      <c r="AI20" s="13"/>
      <c r="AJ20" s="1">
        <f t="shared" si="7"/>
        <v>0</v>
      </c>
      <c r="AK20" s="1">
        <f t="shared" si="8"/>
        <v>0</v>
      </c>
      <c r="AL20" s="14">
        <f t="shared" si="9"/>
        <v>0</v>
      </c>
      <c r="AM20" s="14">
        <f t="shared" si="10"/>
        <v>0</v>
      </c>
      <c r="AN20" s="1">
        <f>IF(AW20=1,IFERROR(IF(N20&gt;0,N20,IF(M20&gt;0,1,0))/통합_입력!$T$2*통합_입력!$L$2,0),0)</f>
        <v>0</v>
      </c>
      <c r="AO20" s="14">
        <f t="shared" si="11"/>
        <v>0</v>
      </c>
      <c r="AP20" s="12" t="str">
        <f t="shared" si="12"/>
        <v/>
      </c>
      <c r="AQ20" s="12" t="str">
        <f t="shared" si="13"/>
        <v/>
      </c>
      <c r="AR20" s="12" t="str">
        <f t="shared" si="14"/>
        <v/>
      </c>
      <c r="AS20" s="12" t="str">
        <f t="shared" si="15"/>
        <v/>
      </c>
      <c r="AT20" s="12" t="str">
        <f t="shared" si="16"/>
        <v/>
      </c>
      <c r="AU20" s="12" t="str">
        <f>IF(AW20=1,IFERROR((IF(I20&gt;0,I20,IF(H20&gt;0,1,0))/통합_입력!$L$2)/(IF(N20&gt;0,N20,IF(M20&gt;0,1,0))/통합_입력!$T$2),0),"")</f>
        <v/>
      </c>
      <c r="AV20" s="1">
        <f>통합_입력!I21</f>
        <v>0</v>
      </c>
      <c r="AW20" s="1">
        <f t="shared" si="17"/>
        <v>0</v>
      </c>
      <c r="AX20" s="1" t="str">
        <f t="shared" si="18"/>
        <v>실전 미사용/피해 없음</v>
      </c>
    </row>
    <row r="21" spans="1:50" ht="28.5">
      <c r="A21" s="2">
        <f>통합_입력!A22</f>
        <v>0</v>
      </c>
      <c r="B21" s="2">
        <f>통합_입력!B22</f>
        <v>0</v>
      </c>
      <c r="C21" s="18" t="str">
        <f>통합_입력!D22</f>
        <v/>
      </c>
      <c r="D21" s="18">
        <f>통합_입력!E22</f>
        <v>0</v>
      </c>
      <c r="E21" s="18" t="str">
        <f>통합_입력!F22</f>
        <v/>
      </c>
      <c r="F21" s="19" t="str">
        <f>통합_입력!G22</f>
        <v/>
      </c>
      <c r="G21" s="2" t="str">
        <f>통합_입력!H22</f>
        <v/>
      </c>
      <c r="H21" s="20">
        <f>통합_입력!K22</f>
        <v>0</v>
      </c>
      <c r="I21" s="2">
        <f>통합_입력!M22</f>
        <v>0</v>
      </c>
      <c r="J21" s="19">
        <f>통합_입력!N22</f>
        <v>0</v>
      </c>
      <c r="K21" s="19">
        <f>통합_입력!O22</f>
        <v>0</v>
      </c>
      <c r="L21" s="19">
        <f>통합_입력!P22</f>
        <v>0</v>
      </c>
      <c r="M21" s="20">
        <f>통합_입력!S22</f>
        <v>0</v>
      </c>
      <c r="N21" s="2">
        <f>통합_입력!U22</f>
        <v>0</v>
      </c>
      <c r="O21" s="19">
        <f>통합_입력!V22</f>
        <v>0</v>
      </c>
      <c r="P21" s="19">
        <f>통합_입력!W22</f>
        <v>0</v>
      </c>
      <c r="Q21" s="19">
        <f t="shared" si="0"/>
        <v>1</v>
      </c>
      <c r="R21" s="19">
        <f>IF(A21="","",MIN(1,설정!$B$8+IF(B21="백어택",설정!$B$5*L21,IF(B21="헤드어택",설정!$B$7*L21,0))))</f>
        <v>0.9</v>
      </c>
      <c r="S21" s="19">
        <f>IF(A21="","",MIN(1,설정!$B$8+IF(B21="백어택",설정!$B$5,IF(B21="헤드어택",설정!$B$7,0))))</f>
        <v>0.9</v>
      </c>
      <c r="T21" s="19">
        <f>IF(A21="","",IF(G21="뭉툭한가시",설정!$B$13,R21))</f>
        <v>0.9</v>
      </c>
      <c r="U21" s="19">
        <f>IF(A21="","",IF(G21="뭉툭한가시",설정!$B$13,S21))</f>
        <v>0.9</v>
      </c>
      <c r="V21" s="19">
        <f>IF(A21="","",IF(G21="뭉툭한가시",MAX(0,MIN(설정!$B$14,(R21-설정!$B$16)/(설정!$B$15-설정!$B$16)*설정!$B$14)),설정!$B$12))</f>
        <v>0.24</v>
      </c>
      <c r="W21" s="19">
        <f>IF(A21="","",IF(G21="뭉툭한가시",MAX(0,MIN(설정!$B$14,(S21-설정!$B$16)/(설정!$B$15-설정!$B$16)*설정!$B$14)),설정!$B$12))</f>
        <v>0.24</v>
      </c>
      <c r="X21" s="2" t="e">
        <f t="shared" si="1"/>
        <v>#VALUE!</v>
      </c>
      <c r="Y21" s="2" t="e">
        <f t="shared" si="2"/>
        <v>#VALUE!</v>
      </c>
      <c r="Z21" s="2">
        <f>IF(A21="","",1+IF(B21="백어택",설정!$B$4*L21,IF(B21="헤드어택",설정!$B$6*L21,0)))</f>
        <v>1</v>
      </c>
      <c r="AA21" s="1">
        <f>IF(A21="","",1+IF(B21="백어택",설정!$B$4,IF(B21="헤드어택",설정!$B$6,0)))</f>
        <v>1</v>
      </c>
      <c r="AB21" s="1" t="e">
        <f t="shared" si="3"/>
        <v>#VALUE!</v>
      </c>
      <c r="AC21" s="1" t="e">
        <f t="shared" si="4"/>
        <v>#VALUE!</v>
      </c>
      <c r="AD21" s="1" t="e">
        <f t="shared" si="5"/>
        <v>#VALUE!</v>
      </c>
      <c r="AE21" s="1" t="e">
        <f t="shared" si="6"/>
        <v>#VALUE!</v>
      </c>
      <c r="AF21" s="13"/>
      <c r="AG21" s="13"/>
      <c r="AH21" s="13"/>
      <c r="AI21" s="13"/>
      <c r="AJ21" s="1">
        <f t="shared" si="7"/>
        <v>0</v>
      </c>
      <c r="AK21" s="1">
        <f t="shared" si="8"/>
        <v>0</v>
      </c>
      <c r="AL21" s="14">
        <f t="shared" si="9"/>
        <v>0</v>
      </c>
      <c r="AM21" s="14">
        <f t="shared" si="10"/>
        <v>0</v>
      </c>
      <c r="AN21" s="1">
        <f>IF(AW21=1,IFERROR(IF(N21&gt;0,N21,IF(M21&gt;0,1,0))/통합_입력!$T$2*통합_입력!$L$2,0),0)</f>
        <v>0</v>
      </c>
      <c r="AO21" s="14">
        <f t="shared" si="11"/>
        <v>0</v>
      </c>
      <c r="AP21" s="12" t="str">
        <f t="shared" si="12"/>
        <v/>
      </c>
      <c r="AQ21" s="12" t="str">
        <f t="shared" si="13"/>
        <v/>
      </c>
      <c r="AR21" s="12" t="str">
        <f t="shared" si="14"/>
        <v/>
      </c>
      <c r="AS21" s="12" t="str">
        <f t="shared" si="15"/>
        <v/>
      </c>
      <c r="AT21" s="12" t="str">
        <f t="shared" si="16"/>
        <v/>
      </c>
      <c r="AU21" s="12" t="str">
        <f>IF(AW21=1,IFERROR((IF(I21&gt;0,I21,IF(H21&gt;0,1,0))/통합_입력!$L$2)/(IF(N21&gt;0,N21,IF(M21&gt;0,1,0))/통합_입력!$T$2),0),"")</f>
        <v/>
      </c>
      <c r="AV21" s="1">
        <f>통합_입력!I22</f>
        <v>0</v>
      </c>
      <c r="AW21" s="1">
        <f t="shared" si="17"/>
        <v>0</v>
      </c>
      <c r="AX21" s="1" t="str">
        <f t="shared" si="18"/>
        <v>실전 미사용/피해 없음</v>
      </c>
    </row>
    <row r="22" spans="1:50" ht="28.5">
      <c r="A22" s="2">
        <f>통합_입력!A23</f>
        <v>0</v>
      </c>
      <c r="B22" s="2">
        <f>통합_입력!B23</f>
        <v>0</v>
      </c>
      <c r="C22" s="18" t="str">
        <f>통합_입력!D23</f>
        <v/>
      </c>
      <c r="D22" s="18">
        <f>통합_입력!E23</f>
        <v>0</v>
      </c>
      <c r="E22" s="18" t="str">
        <f>통합_입력!F23</f>
        <v/>
      </c>
      <c r="F22" s="19" t="str">
        <f>통합_입력!G23</f>
        <v/>
      </c>
      <c r="G22" s="2" t="str">
        <f>통합_입력!H23</f>
        <v/>
      </c>
      <c r="H22" s="20">
        <f>통합_입력!K23</f>
        <v>0</v>
      </c>
      <c r="I22" s="2">
        <f>통합_입력!M23</f>
        <v>0</v>
      </c>
      <c r="J22" s="19">
        <f>통합_입력!N23</f>
        <v>0</v>
      </c>
      <c r="K22" s="19">
        <f>통합_입력!O23</f>
        <v>0</v>
      </c>
      <c r="L22" s="19">
        <f>통합_입력!P23</f>
        <v>0</v>
      </c>
      <c r="M22" s="20">
        <f>통합_입력!S23</f>
        <v>0</v>
      </c>
      <c r="N22" s="2">
        <f>통합_입력!U23</f>
        <v>0</v>
      </c>
      <c r="O22" s="19">
        <f>통합_입력!V23</f>
        <v>0</v>
      </c>
      <c r="P22" s="19">
        <f>통합_입력!W23</f>
        <v>0</v>
      </c>
      <c r="Q22" s="19">
        <f t="shared" si="0"/>
        <v>1</v>
      </c>
      <c r="R22" s="19">
        <f>IF(A22="","",MIN(1,설정!$B$8+IF(B22="백어택",설정!$B$5*L22,IF(B22="헤드어택",설정!$B$7*L22,0))))</f>
        <v>0.9</v>
      </c>
      <c r="S22" s="19">
        <f>IF(A22="","",MIN(1,설정!$B$8+IF(B22="백어택",설정!$B$5,IF(B22="헤드어택",설정!$B$7,0))))</f>
        <v>0.9</v>
      </c>
      <c r="T22" s="19">
        <f>IF(A22="","",IF(G22="뭉툭한가시",설정!$B$13,R22))</f>
        <v>0.9</v>
      </c>
      <c r="U22" s="19">
        <f>IF(A22="","",IF(G22="뭉툭한가시",설정!$B$13,S22))</f>
        <v>0.9</v>
      </c>
      <c r="V22" s="19">
        <f>IF(A22="","",IF(G22="뭉툭한가시",MAX(0,MIN(설정!$B$14,(R22-설정!$B$16)/(설정!$B$15-설정!$B$16)*설정!$B$14)),설정!$B$12))</f>
        <v>0.24</v>
      </c>
      <c r="W22" s="19">
        <f>IF(A22="","",IF(G22="뭉툭한가시",MAX(0,MIN(설정!$B$14,(S22-설정!$B$16)/(설정!$B$15-설정!$B$16)*설정!$B$14)),설정!$B$12))</f>
        <v>0.24</v>
      </c>
      <c r="X22" s="2" t="e">
        <f t="shared" si="1"/>
        <v>#VALUE!</v>
      </c>
      <c r="Y22" s="2" t="e">
        <f t="shared" si="2"/>
        <v>#VALUE!</v>
      </c>
      <c r="Z22" s="2">
        <f>IF(A22="","",1+IF(B22="백어택",설정!$B$4*L22,IF(B22="헤드어택",설정!$B$6*L22,0)))</f>
        <v>1</v>
      </c>
      <c r="AA22" s="1">
        <f>IF(A22="","",1+IF(B22="백어택",설정!$B$4,IF(B22="헤드어택",설정!$B$6,0)))</f>
        <v>1</v>
      </c>
      <c r="AB22" s="1" t="e">
        <f t="shared" si="3"/>
        <v>#VALUE!</v>
      </c>
      <c r="AC22" s="1" t="e">
        <f t="shared" si="4"/>
        <v>#VALUE!</v>
      </c>
      <c r="AD22" s="1" t="e">
        <f t="shared" si="5"/>
        <v>#VALUE!</v>
      </c>
      <c r="AE22" s="1" t="e">
        <f t="shared" si="6"/>
        <v>#VALUE!</v>
      </c>
      <c r="AF22" s="13"/>
      <c r="AG22" s="13"/>
      <c r="AH22" s="13"/>
      <c r="AI22" s="13"/>
      <c r="AJ22" s="1">
        <f t="shared" si="7"/>
        <v>0</v>
      </c>
      <c r="AK22" s="1">
        <f t="shared" si="8"/>
        <v>0</v>
      </c>
      <c r="AL22" s="14">
        <f t="shared" si="9"/>
        <v>0</v>
      </c>
      <c r="AM22" s="14">
        <f t="shared" si="10"/>
        <v>0</v>
      </c>
      <c r="AN22" s="1">
        <f>IF(AW22=1,IFERROR(IF(N22&gt;0,N22,IF(M22&gt;0,1,0))/통합_입력!$T$2*통합_입력!$L$2,0),0)</f>
        <v>0</v>
      </c>
      <c r="AO22" s="14">
        <f t="shared" si="11"/>
        <v>0</v>
      </c>
      <c r="AP22" s="12" t="str">
        <f t="shared" si="12"/>
        <v/>
      </c>
      <c r="AQ22" s="12" t="str">
        <f t="shared" si="13"/>
        <v/>
      </c>
      <c r="AR22" s="12" t="str">
        <f t="shared" si="14"/>
        <v/>
      </c>
      <c r="AS22" s="12" t="str">
        <f t="shared" si="15"/>
        <v/>
      </c>
      <c r="AT22" s="12" t="str">
        <f t="shared" si="16"/>
        <v/>
      </c>
      <c r="AU22" s="12" t="str">
        <f>IF(AW22=1,IFERROR((IF(I22&gt;0,I22,IF(H22&gt;0,1,0))/통합_입력!$L$2)/(IF(N22&gt;0,N22,IF(M22&gt;0,1,0))/통합_입력!$T$2),0),"")</f>
        <v/>
      </c>
      <c r="AV22" s="1">
        <f>통합_입력!I23</f>
        <v>0</v>
      </c>
      <c r="AW22" s="1">
        <f t="shared" si="17"/>
        <v>0</v>
      </c>
      <c r="AX22" s="1" t="str">
        <f t="shared" si="18"/>
        <v>실전 미사용/피해 없음</v>
      </c>
    </row>
    <row r="23" spans="1:50" ht="28.5">
      <c r="A23" s="2">
        <f>통합_입력!A24</f>
        <v>0</v>
      </c>
      <c r="B23" s="2">
        <f>통합_입력!B24</f>
        <v>0</v>
      </c>
      <c r="C23" s="18" t="str">
        <f>통합_입력!D24</f>
        <v/>
      </c>
      <c r="D23" s="18">
        <f>통합_입력!E24</f>
        <v>0</v>
      </c>
      <c r="E23" s="18" t="str">
        <f>통합_입력!F24</f>
        <v/>
      </c>
      <c r="F23" s="19" t="str">
        <f>통합_입력!G24</f>
        <v/>
      </c>
      <c r="G23" s="2" t="str">
        <f>통합_입력!H24</f>
        <v/>
      </c>
      <c r="H23" s="20">
        <f>통합_입력!K24</f>
        <v>0</v>
      </c>
      <c r="I23" s="2">
        <f>통합_입력!M24</f>
        <v>0</v>
      </c>
      <c r="J23" s="19">
        <f>통합_입력!N24</f>
        <v>0</v>
      </c>
      <c r="K23" s="19">
        <f>통합_입력!O24</f>
        <v>0</v>
      </c>
      <c r="L23" s="19">
        <f>통합_입력!P24</f>
        <v>0</v>
      </c>
      <c r="M23" s="20">
        <f>통합_입력!S24</f>
        <v>0</v>
      </c>
      <c r="N23" s="2">
        <f>통합_입력!U24</f>
        <v>0</v>
      </c>
      <c r="O23" s="19">
        <f>통합_입력!V24</f>
        <v>0</v>
      </c>
      <c r="P23" s="19">
        <f>통합_입력!W24</f>
        <v>0</v>
      </c>
      <c r="Q23" s="19">
        <f t="shared" si="0"/>
        <v>1</v>
      </c>
      <c r="R23" s="19">
        <f>IF(A23="","",MIN(1,설정!$B$8+IF(B23="백어택",설정!$B$5*L23,IF(B23="헤드어택",설정!$B$7*L23,0))))</f>
        <v>0.9</v>
      </c>
      <c r="S23" s="19">
        <f>IF(A23="","",MIN(1,설정!$B$8+IF(B23="백어택",설정!$B$5,IF(B23="헤드어택",설정!$B$7,0))))</f>
        <v>0.9</v>
      </c>
      <c r="T23" s="19">
        <f>IF(A23="","",IF(G23="뭉툭한가시",설정!$B$13,R23))</f>
        <v>0.9</v>
      </c>
      <c r="U23" s="19">
        <f>IF(A23="","",IF(G23="뭉툭한가시",설정!$B$13,S23))</f>
        <v>0.9</v>
      </c>
      <c r="V23" s="19">
        <f>IF(A23="","",IF(G23="뭉툭한가시",MAX(0,MIN(설정!$B$14,(R23-설정!$B$16)/(설정!$B$15-설정!$B$16)*설정!$B$14)),설정!$B$12))</f>
        <v>0.24</v>
      </c>
      <c r="W23" s="19">
        <f>IF(A23="","",IF(G23="뭉툭한가시",MAX(0,MIN(설정!$B$14,(S23-설정!$B$16)/(설정!$B$15-설정!$B$16)*설정!$B$14)),설정!$B$12))</f>
        <v>0.24</v>
      </c>
      <c r="X23" s="2" t="e">
        <f t="shared" si="1"/>
        <v>#VALUE!</v>
      </c>
      <c r="Y23" s="2" t="e">
        <f t="shared" si="2"/>
        <v>#VALUE!</v>
      </c>
      <c r="Z23" s="2">
        <f>IF(A23="","",1+IF(B23="백어택",설정!$B$4*L23,IF(B23="헤드어택",설정!$B$6*L23,0)))</f>
        <v>1</v>
      </c>
      <c r="AA23" s="1">
        <f>IF(A23="","",1+IF(B23="백어택",설정!$B$4,IF(B23="헤드어택",설정!$B$6,0)))</f>
        <v>1</v>
      </c>
      <c r="AB23" s="1" t="e">
        <f t="shared" si="3"/>
        <v>#VALUE!</v>
      </c>
      <c r="AC23" s="1" t="e">
        <f t="shared" si="4"/>
        <v>#VALUE!</v>
      </c>
      <c r="AD23" s="1" t="e">
        <f t="shared" si="5"/>
        <v>#VALUE!</v>
      </c>
      <c r="AE23" s="1" t="e">
        <f t="shared" si="6"/>
        <v>#VALUE!</v>
      </c>
      <c r="AF23" s="13"/>
      <c r="AG23" s="13"/>
      <c r="AH23" s="13"/>
      <c r="AI23" s="13"/>
      <c r="AJ23" s="1">
        <f t="shared" si="7"/>
        <v>0</v>
      </c>
      <c r="AK23" s="1">
        <f t="shared" si="8"/>
        <v>0</v>
      </c>
      <c r="AL23" s="14">
        <f t="shared" si="9"/>
        <v>0</v>
      </c>
      <c r="AM23" s="14">
        <f t="shared" si="10"/>
        <v>0</v>
      </c>
      <c r="AN23" s="1">
        <f>IF(AW23=1,IFERROR(IF(N23&gt;0,N23,IF(M23&gt;0,1,0))/통합_입력!$T$2*통합_입력!$L$2,0),0)</f>
        <v>0</v>
      </c>
      <c r="AO23" s="14">
        <f t="shared" si="11"/>
        <v>0</v>
      </c>
      <c r="AP23" s="12" t="str">
        <f t="shared" si="12"/>
        <v/>
      </c>
      <c r="AQ23" s="12" t="str">
        <f t="shared" si="13"/>
        <v/>
      </c>
      <c r="AR23" s="12" t="str">
        <f t="shared" si="14"/>
        <v/>
      </c>
      <c r="AS23" s="12" t="str">
        <f t="shared" si="15"/>
        <v/>
      </c>
      <c r="AT23" s="12" t="str">
        <f t="shared" si="16"/>
        <v/>
      </c>
      <c r="AU23" s="12" t="str">
        <f>IF(AW23=1,IFERROR((IF(I23&gt;0,I23,IF(H23&gt;0,1,0))/통합_입력!$L$2)/(IF(N23&gt;0,N23,IF(M23&gt;0,1,0))/통합_입력!$T$2),0),"")</f>
        <v/>
      </c>
      <c r="AV23" s="1">
        <f>통합_입력!I24</f>
        <v>0</v>
      </c>
      <c r="AW23" s="1">
        <f t="shared" si="17"/>
        <v>0</v>
      </c>
      <c r="AX23" s="1" t="str">
        <f t="shared" si="18"/>
        <v>실전 미사용/피해 없음</v>
      </c>
    </row>
    <row r="24" spans="1:50" ht="28.5">
      <c r="A24" s="2">
        <f>통합_입력!A25</f>
        <v>0</v>
      </c>
      <c r="B24" s="2">
        <f>통합_입력!B25</f>
        <v>0</v>
      </c>
      <c r="C24" s="18" t="str">
        <f>통합_입력!D25</f>
        <v/>
      </c>
      <c r="D24" s="18">
        <f>통합_입력!E25</f>
        <v>0</v>
      </c>
      <c r="E24" s="18" t="str">
        <f>통합_입력!F25</f>
        <v/>
      </c>
      <c r="F24" s="19" t="str">
        <f>통합_입력!G25</f>
        <v/>
      </c>
      <c r="G24" s="2" t="str">
        <f>통합_입력!H25</f>
        <v/>
      </c>
      <c r="H24" s="20">
        <f>통합_입력!K25</f>
        <v>0</v>
      </c>
      <c r="I24" s="2">
        <f>통합_입력!M25</f>
        <v>0</v>
      </c>
      <c r="J24" s="19">
        <f>통합_입력!N25</f>
        <v>0</v>
      </c>
      <c r="K24" s="19">
        <f>통합_입력!O25</f>
        <v>0</v>
      </c>
      <c r="L24" s="19">
        <f>통합_입력!P25</f>
        <v>0</v>
      </c>
      <c r="M24" s="20">
        <f>통합_입력!S25</f>
        <v>0</v>
      </c>
      <c r="N24" s="2">
        <f>통합_입력!U25</f>
        <v>0</v>
      </c>
      <c r="O24" s="19">
        <f>통합_입력!V25</f>
        <v>0</v>
      </c>
      <c r="P24" s="19">
        <f>통합_입력!W25</f>
        <v>0</v>
      </c>
      <c r="Q24" s="19">
        <f t="shared" si="0"/>
        <v>1</v>
      </c>
      <c r="R24" s="19">
        <f>IF(A24="","",MIN(1,설정!$B$8+IF(B24="백어택",설정!$B$5*L24,IF(B24="헤드어택",설정!$B$7*L24,0))))</f>
        <v>0.9</v>
      </c>
      <c r="S24" s="19">
        <f>IF(A24="","",MIN(1,설정!$B$8+IF(B24="백어택",설정!$B$5,IF(B24="헤드어택",설정!$B$7,0))))</f>
        <v>0.9</v>
      </c>
      <c r="T24" s="19">
        <f>IF(A24="","",IF(G24="뭉툭한가시",설정!$B$13,R24))</f>
        <v>0.9</v>
      </c>
      <c r="U24" s="19">
        <f>IF(A24="","",IF(G24="뭉툭한가시",설정!$B$13,S24))</f>
        <v>0.9</v>
      </c>
      <c r="V24" s="19">
        <f>IF(A24="","",IF(G24="뭉툭한가시",MAX(0,MIN(설정!$B$14,(R24-설정!$B$16)/(설정!$B$15-설정!$B$16)*설정!$B$14)),설정!$B$12))</f>
        <v>0.24</v>
      </c>
      <c r="W24" s="19">
        <f>IF(A24="","",IF(G24="뭉툭한가시",MAX(0,MIN(설정!$B$14,(S24-설정!$B$16)/(설정!$B$15-설정!$B$16)*설정!$B$14)),설정!$B$12))</f>
        <v>0.24</v>
      </c>
      <c r="X24" s="2" t="e">
        <f t="shared" si="1"/>
        <v>#VALUE!</v>
      </c>
      <c r="Y24" s="2" t="e">
        <f t="shared" si="2"/>
        <v>#VALUE!</v>
      </c>
      <c r="Z24" s="2">
        <f>IF(A24="","",1+IF(B24="백어택",설정!$B$4*L24,IF(B24="헤드어택",설정!$B$6*L24,0)))</f>
        <v>1</v>
      </c>
      <c r="AA24" s="1">
        <f>IF(A24="","",1+IF(B24="백어택",설정!$B$4,IF(B24="헤드어택",설정!$B$6,0)))</f>
        <v>1</v>
      </c>
      <c r="AB24" s="1" t="e">
        <f t="shared" si="3"/>
        <v>#VALUE!</v>
      </c>
      <c r="AC24" s="1" t="e">
        <f t="shared" si="4"/>
        <v>#VALUE!</v>
      </c>
      <c r="AD24" s="1" t="e">
        <f t="shared" si="5"/>
        <v>#VALUE!</v>
      </c>
      <c r="AE24" s="1" t="e">
        <f t="shared" si="6"/>
        <v>#VALUE!</v>
      </c>
      <c r="AF24" s="13"/>
      <c r="AG24" s="13"/>
      <c r="AH24" s="13"/>
      <c r="AI24" s="13"/>
      <c r="AJ24" s="1">
        <f t="shared" si="7"/>
        <v>0</v>
      </c>
      <c r="AK24" s="1">
        <f t="shared" si="8"/>
        <v>0</v>
      </c>
      <c r="AL24" s="14">
        <f t="shared" si="9"/>
        <v>0</v>
      </c>
      <c r="AM24" s="14">
        <f t="shared" si="10"/>
        <v>0</v>
      </c>
      <c r="AN24" s="1">
        <f>IF(AW24=1,IFERROR(IF(N24&gt;0,N24,IF(M24&gt;0,1,0))/통합_입력!$T$2*통합_입력!$L$2,0),0)</f>
        <v>0</v>
      </c>
      <c r="AO24" s="14">
        <f t="shared" si="11"/>
        <v>0</v>
      </c>
      <c r="AP24" s="12" t="str">
        <f t="shared" si="12"/>
        <v/>
      </c>
      <c r="AQ24" s="12" t="str">
        <f t="shared" si="13"/>
        <v/>
      </c>
      <c r="AR24" s="12" t="str">
        <f t="shared" si="14"/>
        <v/>
      </c>
      <c r="AS24" s="12" t="str">
        <f t="shared" si="15"/>
        <v/>
      </c>
      <c r="AT24" s="12" t="str">
        <f t="shared" si="16"/>
        <v/>
      </c>
      <c r="AU24" s="12" t="str">
        <f>IF(AW24=1,IFERROR((IF(I24&gt;0,I24,IF(H24&gt;0,1,0))/통합_입력!$L$2)/(IF(N24&gt;0,N24,IF(M24&gt;0,1,0))/통합_입력!$T$2),0),"")</f>
        <v/>
      </c>
      <c r="AV24" s="1">
        <f>통합_입력!I25</f>
        <v>0</v>
      </c>
      <c r="AW24" s="1">
        <f t="shared" si="17"/>
        <v>0</v>
      </c>
      <c r="AX24" s="1" t="str">
        <f t="shared" si="18"/>
        <v>실전 미사용/피해 없음</v>
      </c>
    </row>
    <row r="25" spans="1:50" ht="28.5">
      <c r="A25" s="2">
        <f>통합_입력!A26</f>
        <v>0</v>
      </c>
      <c r="B25" s="2">
        <f>통합_입력!B26</f>
        <v>0</v>
      </c>
      <c r="C25" s="18" t="str">
        <f>통합_입력!D26</f>
        <v/>
      </c>
      <c r="D25" s="18">
        <f>통합_입력!E26</f>
        <v>0</v>
      </c>
      <c r="E25" s="18" t="str">
        <f>통합_입력!F26</f>
        <v/>
      </c>
      <c r="F25" s="19" t="str">
        <f>통합_입력!G26</f>
        <v/>
      </c>
      <c r="G25" s="2" t="str">
        <f>통합_입력!H26</f>
        <v/>
      </c>
      <c r="H25" s="20">
        <f>통합_입력!K26</f>
        <v>0</v>
      </c>
      <c r="I25" s="2">
        <f>통합_입력!M26</f>
        <v>0</v>
      </c>
      <c r="J25" s="19">
        <f>통합_입력!N26</f>
        <v>0</v>
      </c>
      <c r="K25" s="19">
        <f>통합_입력!O26</f>
        <v>0</v>
      </c>
      <c r="L25" s="19">
        <f>통합_입력!P26</f>
        <v>0</v>
      </c>
      <c r="M25" s="20">
        <f>통합_입력!S26</f>
        <v>0</v>
      </c>
      <c r="N25" s="2">
        <f>통합_입력!U26</f>
        <v>0</v>
      </c>
      <c r="O25" s="19">
        <f>통합_입력!V26</f>
        <v>0</v>
      </c>
      <c r="P25" s="19">
        <f>통합_입력!W26</f>
        <v>0</v>
      </c>
      <c r="Q25" s="19">
        <f t="shared" si="0"/>
        <v>1</v>
      </c>
      <c r="R25" s="19">
        <f>IF(A25="","",MIN(1,설정!$B$8+IF(B25="백어택",설정!$B$5*L25,IF(B25="헤드어택",설정!$B$7*L25,0))))</f>
        <v>0.9</v>
      </c>
      <c r="S25" s="19">
        <f>IF(A25="","",MIN(1,설정!$B$8+IF(B25="백어택",설정!$B$5,IF(B25="헤드어택",설정!$B$7,0))))</f>
        <v>0.9</v>
      </c>
      <c r="T25" s="19">
        <f>IF(A25="","",IF(G25="뭉툭한가시",설정!$B$13,R25))</f>
        <v>0.9</v>
      </c>
      <c r="U25" s="19">
        <f>IF(A25="","",IF(G25="뭉툭한가시",설정!$B$13,S25))</f>
        <v>0.9</v>
      </c>
      <c r="V25" s="19">
        <f>IF(A25="","",IF(G25="뭉툭한가시",MAX(0,MIN(설정!$B$14,(R25-설정!$B$16)/(설정!$B$15-설정!$B$16)*설정!$B$14)),설정!$B$12))</f>
        <v>0.24</v>
      </c>
      <c r="W25" s="19">
        <f>IF(A25="","",IF(G25="뭉툭한가시",MAX(0,MIN(설정!$B$14,(S25-설정!$B$16)/(설정!$B$15-설정!$B$16)*설정!$B$14)),설정!$B$12))</f>
        <v>0.24</v>
      </c>
      <c r="X25" s="2" t="e">
        <f t="shared" si="1"/>
        <v>#VALUE!</v>
      </c>
      <c r="Y25" s="2" t="e">
        <f t="shared" si="2"/>
        <v>#VALUE!</v>
      </c>
      <c r="Z25" s="2">
        <f>IF(A25="","",1+IF(B25="백어택",설정!$B$4*L25,IF(B25="헤드어택",설정!$B$6*L25,0)))</f>
        <v>1</v>
      </c>
      <c r="AA25" s="1">
        <f>IF(A25="","",1+IF(B25="백어택",설정!$B$4,IF(B25="헤드어택",설정!$B$6,0)))</f>
        <v>1</v>
      </c>
      <c r="AB25" s="1" t="e">
        <f t="shared" si="3"/>
        <v>#VALUE!</v>
      </c>
      <c r="AC25" s="1" t="e">
        <f t="shared" si="4"/>
        <v>#VALUE!</v>
      </c>
      <c r="AD25" s="1" t="e">
        <f t="shared" si="5"/>
        <v>#VALUE!</v>
      </c>
      <c r="AE25" s="1" t="e">
        <f t="shared" si="6"/>
        <v>#VALUE!</v>
      </c>
      <c r="AF25" s="13"/>
      <c r="AG25" s="13"/>
      <c r="AH25" s="13"/>
      <c r="AI25" s="13"/>
      <c r="AJ25" s="1">
        <f t="shared" si="7"/>
        <v>0</v>
      </c>
      <c r="AK25" s="1">
        <f t="shared" si="8"/>
        <v>0</v>
      </c>
      <c r="AL25" s="14">
        <f t="shared" si="9"/>
        <v>0</v>
      </c>
      <c r="AM25" s="14">
        <f t="shared" si="10"/>
        <v>0</v>
      </c>
      <c r="AN25" s="1">
        <f>IF(AW25=1,IFERROR(IF(N25&gt;0,N25,IF(M25&gt;0,1,0))/통합_입력!$T$2*통합_입력!$L$2,0),0)</f>
        <v>0</v>
      </c>
      <c r="AO25" s="14">
        <f t="shared" si="11"/>
        <v>0</v>
      </c>
      <c r="AP25" s="12" t="str">
        <f t="shared" si="12"/>
        <v/>
      </c>
      <c r="AQ25" s="12" t="str">
        <f t="shared" si="13"/>
        <v/>
      </c>
      <c r="AR25" s="12" t="str">
        <f t="shared" si="14"/>
        <v/>
      </c>
      <c r="AS25" s="12" t="str">
        <f t="shared" si="15"/>
        <v/>
      </c>
      <c r="AT25" s="12" t="str">
        <f t="shared" si="16"/>
        <v/>
      </c>
      <c r="AU25" s="12" t="str">
        <f>IF(AW25=1,IFERROR((IF(I25&gt;0,I25,IF(H25&gt;0,1,0))/통합_입력!$L$2)/(IF(N25&gt;0,N25,IF(M25&gt;0,1,0))/통합_입력!$T$2),0),"")</f>
        <v/>
      </c>
      <c r="AV25" s="1">
        <f>통합_입력!I26</f>
        <v>0</v>
      </c>
      <c r="AW25" s="1">
        <f t="shared" si="17"/>
        <v>0</v>
      </c>
      <c r="AX25" s="1" t="str">
        <f t="shared" si="18"/>
        <v>실전 미사용/피해 없음</v>
      </c>
    </row>
    <row r="26" spans="1:50" ht="28.5">
      <c r="A26" s="2">
        <f>통합_입력!A27</f>
        <v>0</v>
      </c>
      <c r="B26" s="2">
        <f>통합_입력!B27</f>
        <v>0</v>
      </c>
      <c r="C26" s="18" t="str">
        <f>통합_입력!D27</f>
        <v/>
      </c>
      <c r="D26" s="18">
        <f>통합_입력!E27</f>
        <v>0</v>
      </c>
      <c r="E26" s="18" t="str">
        <f>통합_입력!F27</f>
        <v/>
      </c>
      <c r="F26" s="19" t="str">
        <f>통합_입력!G27</f>
        <v/>
      </c>
      <c r="G26" s="2" t="str">
        <f>통합_입력!H27</f>
        <v/>
      </c>
      <c r="H26" s="20">
        <f>통합_입력!K27</f>
        <v>0</v>
      </c>
      <c r="I26" s="2">
        <f>통합_입력!M27</f>
        <v>0</v>
      </c>
      <c r="J26" s="19">
        <f>통합_입력!N27</f>
        <v>0</v>
      </c>
      <c r="K26" s="19">
        <f>통합_입력!O27</f>
        <v>0</v>
      </c>
      <c r="L26" s="19">
        <f>통합_입력!P27</f>
        <v>0</v>
      </c>
      <c r="M26" s="20">
        <f>통합_입력!S27</f>
        <v>0</v>
      </c>
      <c r="N26" s="2">
        <f>통합_입력!U27</f>
        <v>0</v>
      </c>
      <c r="O26" s="19">
        <f>통합_입력!V27</f>
        <v>0</v>
      </c>
      <c r="P26" s="19">
        <f>통합_입력!W27</f>
        <v>0</v>
      </c>
      <c r="Q26" s="19">
        <f t="shared" si="0"/>
        <v>1</v>
      </c>
      <c r="R26" s="19">
        <f>IF(A26="","",MIN(1,설정!$B$8+IF(B26="백어택",설정!$B$5*L26,IF(B26="헤드어택",설정!$B$7*L26,0))))</f>
        <v>0.9</v>
      </c>
      <c r="S26" s="19">
        <f>IF(A26="","",MIN(1,설정!$B$8+IF(B26="백어택",설정!$B$5,IF(B26="헤드어택",설정!$B$7,0))))</f>
        <v>0.9</v>
      </c>
      <c r="T26" s="19">
        <f>IF(A26="","",IF(G26="뭉툭한가시",설정!$B$13,R26))</f>
        <v>0.9</v>
      </c>
      <c r="U26" s="19">
        <f>IF(A26="","",IF(G26="뭉툭한가시",설정!$B$13,S26))</f>
        <v>0.9</v>
      </c>
      <c r="V26" s="19">
        <f>IF(A26="","",IF(G26="뭉툭한가시",MAX(0,MIN(설정!$B$14,(R26-설정!$B$16)/(설정!$B$15-설정!$B$16)*설정!$B$14)),설정!$B$12))</f>
        <v>0.24</v>
      </c>
      <c r="W26" s="19">
        <f>IF(A26="","",IF(G26="뭉툭한가시",MAX(0,MIN(설정!$B$14,(S26-설정!$B$16)/(설정!$B$15-설정!$B$16)*설정!$B$14)),설정!$B$12))</f>
        <v>0.24</v>
      </c>
      <c r="X26" s="2" t="e">
        <f t="shared" si="1"/>
        <v>#VALUE!</v>
      </c>
      <c r="Y26" s="2" t="e">
        <f t="shared" si="2"/>
        <v>#VALUE!</v>
      </c>
      <c r="Z26" s="2">
        <f>IF(A26="","",1+IF(B26="백어택",설정!$B$4*L26,IF(B26="헤드어택",설정!$B$6*L26,0)))</f>
        <v>1</v>
      </c>
      <c r="AA26" s="1">
        <f>IF(A26="","",1+IF(B26="백어택",설정!$B$4,IF(B26="헤드어택",설정!$B$6,0)))</f>
        <v>1</v>
      </c>
      <c r="AB26" s="1" t="e">
        <f t="shared" si="3"/>
        <v>#VALUE!</v>
      </c>
      <c r="AC26" s="1" t="e">
        <f t="shared" si="4"/>
        <v>#VALUE!</v>
      </c>
      <c r="AD26" s="1" t="e">
        <f t="shared" si="5"/>
        <v>#VALUE!</v>
      </c>
      <c r="AE26" s="1" t="e">
        <f t="shared" si="6"/>
        <v>#VALUE!</v>
      </c>
      <c r="AF26" s="13"/>
      <c r="AG26" s="13"/>
      <c r="AH26" s="13"/>
      <c r="AI26" s="13"/>
      <c r="AJ26" s="1">
        <f t="shared" si="7"/>
        <v>0</v>
      </c>
      <c r="AK26" s="1">
        <f t="shared" si="8"/>
        <v>0</v>
      </c>
      <c r="AL26" s="14">
        <f t="shared" si="9"/>
        <v>0</v>
      </c>
      <c r="AM26" s="14">
        <f t="shared" si="10"/>
        <v>0</v>
      </c>
      <c r="AN26" s="1">
        <f>IF(AW26=1,IFERROR(IF(N26&gt;0,N26,IF(M26&gt;0,1,0))/통합_입력!$T$2*통합_입력!$L$2,0),0)</f>
        <v>0</v>
      </c>
      <c r="AO26" s="14">
        <f t="shared" si="11"/>
        <v>0</v>
      </c>
      <c r="AP26" s="12" t="str">
        <f t="shared" si="12"/>
        <v/>
      </c>
      <c r="AQ26" s="12" t="str">
        <f t="shared" si="13"/>
        <v/>
      </c>
      <c r="AR26" s="12" t="str">
        <f t="shared" si="14"/>
        <v/>
      </c>
      <c r="AS26" s="12" t="str">
        <f t="shared" si="15"/>
        <v/>
      </c>
      <c r="AT26" s="12" t="str">
        <f t="shared" si="16"/>
        <v/>
      </c>
      <c r="AU26" s="12" t="str">
        <f>IF(AW26=1,IFERROR((IF(I26&gt;0,I26,IF(H26&gt;0,1,0))/통합_입력!$L$2)/(IF(N26&gt;0,N26,IF(M26&gt;0,1,0))/통합_입력!$T$2),0),"")</f>
        <v/>
      </c>
      <c r="AV26" s="1">
        <f>통합_입력!I27</f>
        <v>0</v>
      </c>
      <c r="AW26" s="1">
        <f t="shared" si="17"/>
        <v>0</v>
      </c>
      <c r="AX26" s="1" t="str">
        <f t="shared" si="18"/>
        <v>실전 미사용/피해 없음</v>
      </c>
    </row>
    <row r="27" spans="1:50" ht="28.5">
      <c r="A27" s="2">
        <f>통합_입력!A28</f>
        <v>0</v>
      </c>
      <c r="B27" s="2">
        <f>통합_입력!B28</f>
        <v>0</v>
      </c>
      <c r="C27" s="18" t="str">
        <f>통합_입력!D28</f>
        <v/>
      </c>
      <c r="D27" s="18">
        <f>통합_입력!E28</f>
        <v>0</v>
      </c>
      <c r="E27" s="18" t="str">
        <f>통합_입력!F28</f>
        <v/>
      </c>
      <c r="F27" s="19" t="str">
        <f>통합_입력!G28</f>
        <v/>
      </c>
      <c r="G27" s="2" t="str">
        <f>통합_입력!H28</f>
        <v/>
      </c>
      <c r="H27" s="20">
        <f>통합_입력!K28</f>
        <v>0</v>
      </c>
      <c r="I27" s="2">
        <f>통합_입력!M28</f>
        <v>0</v>
      </c>
      <c r="J27" s="19">
        <f>통합_입력!N28</f>
        <v>0</v>
      </c>
      <c r="K27" s="19">
        <f>통합_입력!O28</f>
        <v>0</v>
      </c>
      <c r="L27" s="19">
        <f>통합_입력!P28</f>
        <v>0</v>
      </c>
      <c r="M27" s="20">
        <f>통합_입력!S28</f>
        <v>0</v>
      </c>
      <c r="N27" s="2">
        <f>통합_입력!U28</f>
        <v>0</v>
      </c>
      <c r="O27" s="19">
        <f>통합_입력!V28</f>
        <v>0</v>
      </c>
      <c r="P27" s="19">
        <f>통합_입력!W28</f>
        <v>0</v>
      </c>
      <c r="Q27" s="19">
        <f t="shared" si="0"/>
        <v>1</v>
      </c>
      <c r="R27" s="19">
        <f>IF(A27="","",MIN(1,설정!$B$8+IF(B27="백어택",설정!$B$5*L27,IF(B27="헤드어택",설정!$B$7*L27,0))))</f>
        <v>0.9</v>
      </c>
      <c r="S27" s="19">
        <f>IF(A27="","",MIN(1,설정!$B$8+IF(B27="백어택",설정!$B$5,IF(B27="헤드어택",설정!$B$7,0))))</f>
        <v>0.9</v>
      </c>
      <c r="T27" s="19">
        <f>IF(A27="","",IF(G27="뭉툭한가시",설정!$B$13,R27))</f>
        <v>0.9</v>
      </c>
      <c r="U27" s="19">
        <f>IF(A27="","",IF(G27="뭉툭한가시",설정!$B$13,S27))</f>
        <v>0.9</v>
      </c>
      <c r="V27" s="19">
        <f>IF(A27="","",IF(G27="뭉툭한가시",MAX(0,MIN(설정!$B$14,(R27-설정!$B$16)/(설정!$B$15-설정!$B$16)*설정!$B$14)),설정!$B$12))</f>
        <v>0.24</v>
      </c>
      <c r="W27" s="19">
        <f>IF(A27="","",IF(G27="뭉툭한가시",MAX(0,MIN(설정!$B$14,(S27-설정!$B$16)/(설정!$B$15-설정!$B$16)*설정!$B$14)),설정!$B$12))</f>
        <v>0.24</v>
      </c>
      <c r="X27" s="2" t="e">
        <f t="shared" si="1"/>
        <v>#VALUE!</v>
      </c>
      <c r="Y27" s="2" t="e">
        <f t="shared" si="2"/>
        <v>#VALUE!</v>
      </c>
      <c r="Z27" s="2">
        <f>IF(A27="","",1+IF(B27="백어택",설정!$B$4*L27,IF(B27="헤드어택",설정!$B$6*L27,0)))</f>
        <v>1</v>
      </c>
      <c r="AA27" s="1">
        <f>IF(A27="","",1+IF(B27="백어택",설정!$B$4,IF(B27="헤드어택",설정!$B$6,0)))</f>
        <v>1</v>
      </c>
      <c r="AB27" s="1" t="e">
        <f t="shared" si="3"/>
        <v>#VALUE!</v>
      </c>
      <c r="AC27" s="1" t="e">
        <f t="shared" si="4"/>
        <v>#VALUE!</v>
      </c>
      <c r="AD27" s="1" t="e">
        <f t="shared" si="5"/>
        <v>#VALUE!</v>
      </c>
      <c r="AE27" s="1" t="e">
        <f t="shared" si="6"/>
        <v>#VALUE!</v>
      </c>
      <c r="AF27" s="13"/>
      <c r="AG27" s="13"/>
      <c r="AH27" s="13"/>
      <c r="AI27" s="13"/>
      <c r="AJ27" s="1">
        <f t="shared" si="7"/>
        <v>0</v>
      </c>
      <c r="AK27" s="1">
        <f t="shared" si="8"/>
        <v>0</v>
      </c>
      <c r="AL27" s="14">
        <f t="shared" si="9"/>
        <v>0</v>
      </c>
      <c r="AM27" s="14">
        <f t="shared" si="10"/>
        <v>0</v>
      </c>
      <c r="AN27" s="1">
        <f>IF(AW27=1,IFERROR(IF(N27&gt;0,N27,IF(M27&gt;0,1,0))/통합_입력!$T$2*통합_입력!$L$2,0),0)</f>
        <v>0</v>
      </c>
      <c r="AO27" s="14">
        <f t="shared" si="11"/>
        <v>0</v>
      </c>
      <c r="AP27" s="12" t="str">
        <f t="shared" si="12"/>
        <v/>
      </c>
      <c r="AQ27" s="12" t="str">
        <f t="shared" si="13"/>
        <v/>
      </c>
      <c r="AR27" s="12" t="str">
        <f t="shared" si="14"/>
        <v/>
      </c>
      <c r="AS27" s="12" t="str">
        <f t="shared" si="15"/>
        <v/>
      </c>
      <c r="AT27" s="12" t="str">
        <f t="shared" si="16"/>
        <v/>
      </c>
      <c r="AU27" s="12" t="str">
        <f>IF(AW27=1,IFERROR((IF(I27&gt;0,I27,IF(H27&gt;0,1,0))/통합_입력!$L$2)/(IF(N27&gt;0,N27,IF(M27&gt;0,1,0))/통합_입력!$T$2),0),"")</f>
        <v/>
      </c>
      <c r="AV27" s="1">
        <f>통합_입력!I28</f>
        <v>0</v>
      </c>
      <c r="AW27" s="1">
        <f t="shared" si="17"/>
        <v>0</v>
      </c>
      <c r="AX27" s="1" t="str">
        <f t="shared" si="18"/>
        <v>실전 미사용/피해 없음</v>
      </c>
    </row>
    <row r="28" spans="1:50" ht="28.5">
      <c r="A28" s="2">
        <f>통합_입력!A29</f>
        <v>0</v>
      </c>
      <c r="B28" s="2">
        <f>통합_입력!B29</f>
        <v>0</v>
      </c>
      <c r="C28" s="18" t="str">
        <f>통합_입력!D29</f>
        <v/>
      </c>
      <c r="D28" s="18">
        <f>통합_입력!E29</f>
        <v>0</v>
      </c>
      <c r="E28" s="18" t="str">
        <f>통합_입력!F29</f>
        <v/>
      </c>
      <c r="F28" s="19" t="str">
        <f>통합_입력!G29</f>
        <v/>
      </c>
      <c r="G28" s="2" t="str">
        <f>통합_입력!H29</f>
        <v/>
      </c>
      <c r="H28" s="20">
        <f>통합_입력!K29</f>
        <v>0</v>
      </c>
      <c r="I28" s="2">
        <f>통합_입력!M29</f>
        <v>0</v>
      </c>
      <c r="J28" s="19">
        <f>통합_입력!N29</f>
        <v>0</v>
      </c>
      <c r="K28" s="19">
        <f>통합_입력!O29</f>
        <v>0</v>
      </c>
      <c r="L28" s="19">
        <f>통합_입력!P29</f>
        <v>0</v>
      </c>
      <c r="M28" s="20">
        <f>통합_입력!S29</f>
        <v>0</v>
      </c>
      <c r="N28" s="2">
        <f>통합_입력!U29</f>
        <v>0</v>
      </c>
      <c r="O28" s="19">
        <f>통합_입력!V29</f>
        <v>0</v>
      </c>
      <c r="P28" s="19">
        <f>통합_입력!W29</f>
        <v>0</v>
      </c>
      <c r="Q28" s="19">
        <f t="shared" si="0"/>
        <v>1</v>
      </c>
      <c r="R28" s="19">
        <f>IF(A28="","",MIN(1,설정!$B$8+IF(B28="백어택",설정!$B$5*L28,IF(B28="헤드어택",설정!$B$7*L28,0))))</f>
        <v>0.9</v>
      </c>
      <c r="S28" s="19">
        <f>IF(A28="","",MIN(1,설정!$B$8+IF(B28="백어택",설정!$B$5,IF(B28="헤드어택",설정!$B$7,0))))</f>
        <v>0.9</v>
      </c>
      <c r="T28" s="19">
        <f>IF(A28="","",IF(G28="뭉툭한가시",설정!$B$13,R28))</f>
        <v>0.9</v>
      </c>
      <c r="U28" s="19">
        <f>IF(A28="","",IF(G28="뭉툭한가시",설정!$B$13,S28))</f>
        <v>0.9</v>
      </c>
      <c r="V28" s="19">
        <f>IF(A28="","",IF(G28="뭉툭한가시",MAX(0,MIN(설정!$B$14,(R28-설정!$B$16)/(설정!$B$15-설정!$B$16)*설정!$B$14)),설정!$B$12))</f>
        <v>0.24</v>
      </c>
      <c r="W28" s="19">
        <f>IF(A28="","",IF(G28="뭉툭한가시",MAX(0,MIN(설정!$B$14,(S28-설정!$B$16)/(설정!$B$15-설정!$B$16)*설정!$B$14)),설정!$B$12))</f>
        <v>0.24</v>
      </c>
      <c r="X28" s="2" t="e">
        <f t="shared" si="1"/>
        <v>#VALUE!</v>
      </c>
      <c r="Y28" s="2" t="e">
        <f t="shared" si="2"/>
        <v>#VALUE!</v>
      </c>
      <c r="Z28" s="2">
        <f>IF(A28="","",1+IF(B28="백어택",설정!$B$4*L28,IF(B28="헤드어택",설정!$B$6*L28,0)))</f>
        <v>1</v>
      </c>
      <c r="AA28" s="1">
        <f>IF(A28="","",1+IF(B28="백어택",설정!$B$4,IF(B28="헤드어택",설정!$B$6,0)))</f>
        <v>1</v>
      </c>
      <c r="AB28" s="1" t="e">
        <f t="shared" si="3"/>
        <v>#VALUE!</v>
      </c>
      <c r="AC28" s="1" t="e">
        <f t="shared" si="4"/>
        <v>#VALUE!</v>
      </c>
      <c r="AD28" s="1" t="e">
        <f t="shared" si="5"/>
        <v>#VALUE!</v>
      </c>
      <c r="AE28" s="1" t="e">
        <f t="shared" si="6"/>
        <v>#VALUE!</v>
      </c>
      <c r="AF28" s="13"/>
      <c r="AG28" s="13"/>
      <c r="AH28" s="13"/>
      <c r="AI28" s="13"/>
      <c r="AJ28" s="1">
        <f t="shared" si="7"/>
        <v>0</v>
      </c>
      <c r="AK28" s="1">
        <f t="shared" si="8"/>
        <v>0</v>
      </c>
      <c r="AL28" s="14">
        <f t="shared" si="9"/>
        <v>0</v>
      </c>
      <c r="AM28" s="14">
        <f t="shared" si="10"/>
        <v>0</v>
      </c>
      <c r="AN28" s="1">
        <f>IF(AW28=1,IFERROR(IF(N28&gt;0,N28,IF(M28&gt;0,1,0))/통합_입력!$T$2*통합_입력!$L$2,0),0)</f>
        <v>0</v>
      </c>
      <c r="AO28" s="14">
        <f t="shared" si="11"/>
        <v>0</v>
      </c>
      <c r="AP28" s="12" t="str">
        <f t="shared" si="12"/>
        <v/>
      </c>
      <c r="AQ28" s="12" t="str">
        <f t="shared" si="13"/>
        <v/>
      </c>
      <c r="AR28" s="12" t="str">
        <f t="shared" si="14"/>
        <v/>
      </c>
      <c r="AS28" s="12" t="str">
        <f t="shared" si="15"/>
        <v/>
      </c>
      <c r="AT28" s="12" t="str">
        <f t="shared" si="16"/>
        <v/>
      </c>
      <c r="AU28" s="12" t="str">
        <f>IF(AW28=1,IFERROR((IF(I28&gt;0,I28,IF(H28&gt;0,1,0))/통합_입력!$L$2)/(IF(N28&gt;0,N28,IF(M28&gt;0,1,0))/통합_입력!$T$2),0),"")</f>
        <v/>
      </c>
      <c r="AV28" s="1">
        <f>통합_입력!I29</f>
        <v>0</v>
      </c>
      <c r="AW28" s="1">
        <f t="shared" si="17"/>
        <v>0</v>
      </c>
      <c r="AX28" s="1" t="str">
        <f t="shared" si="18"/>
        <v>실전 미사용/피해 없음</v>
      </c>
    </row>
    <row r="29" spans="1:50" ht="28.5">
      <c r="A29" s="2">
        <f>통합_입력!A30</f>
        <v>0</v>
      </c>
      <c r="B29" s="2">
        <f>통합_입력!B30</f>
        <v>0</v>
      </c>
      <c r="C29" s="18" t="str">
        <f>통합_입력!D30</f>
        <v/>
      </c>
      <c r="D29" s="18">
        <f>통합_입력!E30</f>
        <v>0</v>
      </c>
      <c r="E29" s="18" t="str">
        <f>통합_입력!F30</f>
        <v/>
      </c>
      <c r="F29" s="19" t="str">
        <f>통합_입력!G30</f>
        <v/>
      </c>
      <c r="G29" s="2" t="str">
        <f>통합_입력!H30</f>
        <v/>
      </c>
      <c r="H29" s="20">
        <f>통합_입력!K30</f>
        <v>0</v>
      </c>
      <c r="I29" s="2">
        <f>통합_입력!M30</f>
        <v>0</v>
      </c>
      <c r="J29" s="19">
        <f>통합_입력!N30</f>
        <v>0</v>
      </c>
      <c r="K29" s="19">
        <f>통합_입력!O30</f>
        <v>0</v>
      </c>
      <c r="L29" s="19">
        <f>통합_입력!P30</f>
        <v>0</v>
      </c>
      <c r="M29" s="20">
        <f>통합_입력!S30</f>
        <v>0</v>
      </c>
      <c r="N29" s="2">
        <f>통합_입력!U30</f>
        <v>0</v>
      </c>
      <c r="O29" s="19">
        <f>통합_입력!V30</f>
        <v>0</v>
      </c>
      <c r="P29" s="19">
        <f>통합_입력!W30</f>
        <v>0</v>
      </c>
      <c r="Q29" s="19">
        <f t="shared" si="0"/>
        <v>1</v>
      </c>
      <c r="R29" s="19">
        <f>IF(A29="","",MIN(1,설정!$B$8+IF(B29="백어택",설정!$B$5*L29,IF(B29="헤드어택",설정!$B$7*L29,0))))</f>
        <v>0.9</v>
      </c>
      <c r="S29" s="19">
        <f>IF(A29="","",MIN(1,설정!$B$8+IF(B29="백어택",설정!$B$5,IF(B29="헤드어택",설정!$B$7,0))))</f>
        <v>0.9</v>
      </c>
      <c r="T29" s="19">
        <f>IF(A29="","",IF(G29="뭉툭한가시",설정!$B$13,R29))</f>
        <v>0.9</v>
      </c>
      <c r="U29" s="19">
        <f>IF(A29="","",IF(G29="뭉툭한가시",설정!$B$13,S29))</f>
        <v>0.9</v>
      </c>
      <c r="V29" s="19">
        <f>IF(A29="","",IF(G29="뭉툭한가시",MAX(0,MIN(설정!$B$14,(R29-설정!$B$16)/(설정!$B$15-설정!$B$16)*설정!$B$14)),설정!$B$12))</f>
        <v>0.24</v>
      </c>
      <c r="W29" s="19">
        <f>IF(A29="","",IF(G29="뭉툭한가시",MAX(0,MIN(설정!$B$14,(S29-설정!$B$16)/(설정!$B$15-설정!$B$16)*설정!$B$14)),설정!$B$12))</f>
        <v>0.24</v>
      </c>
      <c r="X29" s="2" t="e">
        <f t="shared" si="1"/>
        <v>#VALUE!</v>
      </c>
      <c r="Y29" s="2" t="e">
        <f t="shared" si="2"/>
        <v>#VALUE!</v>
      </c>
      <c r="Z29" s="2">
        <f>IF(A29="","",1+IF(B29="백어택",설정!$B$4*L29,IF(B29="헤드어택",설정!$B$6*L29,0)))</f>
        <v>1</v>
      </c>
      <c r="AA29" s="1">
        <f>IF(A29="","",1+IF(B29="백어택",설정!$B$4,IF(B29="헤드어택",설정!$B$6,0)))</f>
        <v>1</v>
      </c>
      <c r="AB29" s="1" t="e">
        <f t="shared" si="3"/>
        <v>#VALUE!</v>
      </c>
      <c r="AC29" s="1" t="e">
        <f t="shared" si="4"/>
        <v>#VALUE!</v>
      </c>
      <c r="AD29" s="1" t="e">
        <f t="shared" si="5"/>
        <v>#VALUE!</v>
      </c>
      <c r="AE29" s="1" t="e">
        <f t="shared" si="6"/>
        <v>#VALUE!</v>
      </c>
      <c r="AF29" s="13"/>
      <c r="AG29" s="13"/>
      <c r="AH29" s="13"/>
      <c r="AI29" s="13"/>
      <c r="AJ29" s="1">
        <f t="shared" si="7"/>
        <v>0</v>
      </c>
      <c r="AK29" s="1">
        <f t="shared" si="8"/>
        <v>0</v>
      </c>
      <c r="AL29" s="14">
        <f t="shared" si="9"/>
        <v>0</v>
      </c>
      <c r="AM29" s="14">
        <f t="shared" si="10"/>
        <v>0</v>
      </c>
      <c r="AN29" s="1">
        <f>IF(AW29=1,IFERROR(IF(N29&gt;0,N29,IF(M29&gt;0,1,0))/통합_입력!$T$2*통합_입력!$L$2,0),0)</f>
        <v>0</v>
      </c>
      <c r="AO29" s="14">
        <f t="shared" si="11"/>
        <v>0</v>
      </c>
      <c r="AP29" s="12" t="str">
        <f t="shared" si="12"/>
        <v/>
      </c>
      <c r="AQ29" s="12" t="str">
        <f t="shared" si="13"/>
        <v/>
      </c>
      <c r="AR29" s="12" t="str">
        <f t="shared" si="14"/>
        <v/>
      </c>
      <c r="AS29" s="12" t="str">
        <f t="shared" si="15"/>
        <v/>
      </c>
      <c r="AT29" s="12" t="str">
        <f t="shared" si="16"/>
        <v/>
      </c>
      <c r="AU29" s="12" t="str">
        <f>IF(AW29=1,IFERROR((IF(I29&gt;0,I29,IF(H29&gt;0,1,0))/통합_입력!$L$2)/(IF(N29&gt;0,N29,IF(M29&gt;0,1,0))/통합_입력!$T$2),0),"")</f>
        <v/>
      </c>
      <c r="AV29" s="1">
        <f>통합_입력!I30</f>
        <v>0</v>
      </c>
      <c r="AW29" s="1">
        <f t="shared" si="17"/>
        <v>0</v>
      </c>
      <c r="AX29" s="1" t="str">
        <f t="shared" si="18"/>
        <v>실전 미사용/피해 없음</v>
      </c>
    </row>
    <row r="30" spans="1:50" ht="28.5">
      <c r="A30" s="2">
        <f>통합_입력!A31</f>
        <v>0</v>
      </c>
      <c r="B30" s="2">
        <f>통합_입력!B31</f>
        <v>0</v>
      </c>
      <c r="C30" s="18" t="str">
        <f>통합_입력!D31</f>
        <v/>
      </c>
      <c r="D30" s="18">
        <f>통합_입력!E31</f>
        <v>0</v>
      </c>
      <c r="E30" s="18" t="str">
        <f>통합_입력!F31</f>
        <v/>
      </c>
      <c r="F30" s="19" t="str">
        <f>통합_입력!G31</f>
        <v/>
      </c>
      <c r="G30" s="2" t="str">
        <f>통합_입력!H31</f>
        <v/>
      </c>
      <c r="H30" s="20">
        <f>통합_입력!K31</f>
        <v>0</v>
      </c>
      <c r="I30" s="2">
        <f>통합_입력!M31</f>
        <v>0</v>
      </c>
      <c r="J30" s="19">
        <f>통합_입력!N31</f>
        <v>0</v>
      </c>
      <c r="K30" s="19">
        <f>통합_입력!O31</f>
        <v>0</v>
      </c>
      <c r="L30" s="19">
        <f>통합_입력!P31</f>
        <v>0</v>
      </c>
      <c r="M30" s="20">
        <f>통합_입력!S31</f>
        <v>0</v>
      </c>
      <c r="N30" s="2">
        <f>통합_입력!U31</f>
        <v>0</v>
      </c>
      <c r="O30" s="19">
        <f>통합_입력!V31</f>
        <v>0</v>
      </c>
      <c r="P30" s="19">
        <f>통합_입력!W31</f>
        <v>0</v>
      </c>
      <c r="Q30" s="19">
        <f t="shared" si="0"/>
        <v>1</v>
      </c>
      <c r="R30" s="19">
        <f>IF(A30="","",MIN(1,설정!$B$8+IF(B30="백어택",설정!$B$5*L30,IF(B30="헤드어택",설정!$B$7*L30,0))))</f>
        <v>0.9</v>
      </c>
      <c r="S30" s="19">
        <f>IF(A30="","",MIN(1,설정!$B$8+IF(B30="백어택",설정!$B$5,IF(B30="헤드어택",설정!$B$7,0))))</f>
        <v>0.9</v>
      </c>
      <c r="T30" s="19">
        <f>IF(A30="","",IF(G30="뭉툭한가시",설정!$B$13,R30))</f>
        <v>0.9</v>
      </c>
      <c r="U30" s="19">
        <f>IF(A30="","",IF(G30="뭉툭한가시",설정!$B$13,S30))</f>
        <v>0.9</v>
      </c>
      <c r="V30" s="19">
        <f>IF(A30="","",IF(G30="뭉툭한가시",MAX(0,MIN(설정!$B$14,(R30-설정!$B$16)/(설정!$B$15-설정!$B$16)*설정!$B$14)),설정!$B$12))</f>
        <v>0.24</v>
      </c>
      <c r="W30" s="19">
        <f>IF(A30="","",IF(G30="뭉툭한가시",MAX(0,MIN(설정!$B$14,(S30-설정!$B$16)/(설정!$B$15-설정!$B$16)*설정!$B$14)),설정!$B$12))</f>
        <v>0.24</v>
      </c>
      <c r="X30" s="2" t="e">
        <f t="shared" si="1"/>
        <v>#VALUE!</v>
      </c>
      <c r="Y30" s="2" t="e">
        <f t="shared" si="2"/>
        <v>#VALUE!</v>
      </c>
      <c r="Z30" s="2">
        <f>IF(A30="","",1+IF(B30="백어택",설정!$B$4*L30,IF(B30="헤드어택",설정!$B$6*L30,0)))</f>
        <v>1</v>
      </c>
      <c r="AA30" s="1">
        <f>IF(A30="","",1+IF(B30="백어택",설정!$B$4,IF(B30="헤드어택",설정!$B$6,0)))</f>
        <v>1</v>
      </c>
      <c r="AB30" s="1" t="e">
        <f t="shared" si="3"/>
        <v>#VALUE!</v>
      </c>
      <c r="AC30" s="1" t="e">
        <f t="shared" si="4"/>
        <v>#VALUE!</v>
      </c>
      <c r="AD30" s="1" t="e">
        <f t="shared" si="5"/>
        <v>#VALUE!</v>
      </c>
      <c r="AE30" s="1" t="e">
        <f t="shared" si="6"/>
        <v>#VALUE!</v>
      </c>
      <c r="AF30" s="13"/>
      <c r="AG30" s="13"/>
      <c r="AH30" s="13"/>
      <c r="AI30" s="13"/>
      <c r="AJ30" s="1">
        <f t="shared" si="7"/>
        <v>0</v>
      </c>
      <c r="AK30" s="1">
        <f t="shared" si="8"/>
        <v>0</v>
      </c>
      <c r="AL30" s="14">
        <f t="shared" si="9"/>
        <v>0</v>
      </c>
      <c r="AM30" s="14">
        <f t="shared" si="10"/>
        <v>0</v>
      </c>
      <c r="AN30" s="1">
        <f>IF(AW30=1,IFERROR(IF(N30&gt;0,N30,IF(M30&gt;0,1,0))/통합_입력!$T$2*통합_입력!$L$2,0),0)</f>
        <v>0</v>
      </c>
      <c r="AO30" s="14">
        <f t="shared" si="11"/>
        <v>0</v>
      </c>
      <c r="AP30" s="12" t="str">
        <f t="shared" si="12"/>
        <v/>
      </c>
      <c r="AQ30" s="12" t="str">
        <f t="shared" si="13"/>
        <v/>
      </c>
      <c r="AR30" s="12" t="str">
        <f t="shared" si="14"/>
        <v/>
      </c>
      <c r="AS30" s="12" t="str">
        <f t="shared" si="15"/>
        <v/>
      </c>
      <c r="AT30" s="12" t="str">
        <f t="shared" si="16"/>
        <v/>
      </c>
      <c r="AU30" s="12" t="str">
        <f>IF(AW30=1,IFERROR((IF(I30&gt;0,I30,IF(H30&gt;0,1,0))/통합_입력!$L$2)/(IF(N30&gt;0,N30,IF(M30&gt;0,1,0))/통합_입력!$T$2),0),"")</f>
        <v/>
      </c>
      <c r="AV30" s="1">
        <f>통합_입력!I31</f>
        <v>0</v>
      </c>
      <c r="AW30" s="1">
        <f t="shared" si="17"/>
        <v>0</v>
      </c>
      <c r="AX30" s="1" t="str">
        <f t="shared" si="18"/>
        <v>실전 미사용/피해 없음</v>
      </c>
    </row>
    <row r="31" spans="1:50" ht="28.5">
      <c r="A31" s="2">
        <f>통합_입력!A32</f>
        <v>0</v>
      </c>
      <c r="B31" s="2">
        <f>통합_입력!B32</f>
        <v>0</v>
      </c>
      <c r="C31" s="18" t="str">
        <f>통합_입력!D32</f>
        <v/>
      </c>
      <c r="D31" s="18">
        <f>통합_입력!E32</f>
        <v>0</v>
      </c>
      <c r="E31" s="18" t="str">
        <f>통합_입력!F32</f>
        <v/>
      </c>
      <c r="F31" s="19" t="str">
        <f>통합_입력!G32</f>
        <v/>
      </c>
      <c r="G31" s="2" t="str">
        <f>통합_입력!H32</f>
        <v/>
      </c>
      <c r="H31" s="20">
        <f>통합_입력!K32</f>
        <v>0</v>
      </c>
      <c r="I31" s="2">
        <f>통합_입력!M32</f>
        <v>0</v>
      </c>
      <c r="J31" s="19">
        <f>통합_입력!N32</f>
        <v>0</v>
      </c>
      <c r="K31" s="19">
        <f>통합_입력!O32</f>
        <v>0</v>
      </c>
      <c r="L31" s="19">
        <f>통합_입력!P32</f>
        <v>0</v>
      </c>
      <c r="M31" s="20">
        <f>통합_입력!S32</f>
        <v>0</v>
      </c>
      <c r="N31" s="2">
        <f>통합_입력!U32</f>
        <v>0</v>
      </c>
      <c r="O31" s="19">
        <f>통합_입력!V32</f>
        <v>0</v>
      </c>
      <c r="P31" s="19">
        <f>통합_입력!W32</f>
        <v>0</v>
      </c>
      <c r="Q31" s="19">
        <f t="shared" si="0"/>
        <v>1</v>
      </c>
      <c r="R31" s="19">
        <f>IF(A31="","",MIN(1,설정!$B$8+IF(B31="백어택",설정!$B$5*L31,IF(B31="헤드어택",설정!$B$7*L31,0))))</f>
        <v>0.9</v>
      </c>
      <c r="S31" s="19">
        <f>IF(A31="","",MIN(1,설정!$B$8+IF(B31="백어택",설정!$B$5,IF(B31="헤드어택",설정!$B$7,0))))</f>
        <v>0.9</v>
      </c>
      <c r="T31" s="19">
        <f>IF(A31="","",IF(G31="뭉툭한가시",설정!$B$13,R31))</f>
        <v>0.9</v>
      </c>
      <c r="U31" s="19">
        <f>IF(A31="","",IF(G31="뭉툭한가시",설정!$B$13,S31))</f>
        <v>0.9</v>
      </c>
      <c r="V31" s="19">
        <f>IF(A31="","",IF(G31="뭉툭한가시",MAX(0,MIN(설정!$B$14,(R31-설정!$B$16)/(설정!$B$15-설정!$B$16)*설정!$B$14)),설정!$B$12))</f>
        <v>0.24</v>
      </c>
      <c r="W31" s="19">
        <f>IF(A31="","",IF(G31="뭉툭한가시",MAX(0,MIN(설정!$B$14,(S31-설정!$B$16)/(설정!$B$15-설정!$B$16)*설정!$B$14)),설정!$B$12))</f>
        <v>0.24</v>
      </c>
      <c r="X31" s="2" t="e">
        <f t="shared" si="1"/>
        <v>#VALUE!</v>
      </c>
      <c r="Y31" s="2" t="e">
        <f t="shared" si="2"/>
        <v>#VALUE!</v>
      </c>
      <c r="Z31" s="2">
        <f>IF(A31="","",1+IF(B31="백어택",설정!$B$4*L31,IF(B31="헤드어택",설정!$B$6*L31,0)))</f>
        <v>1</v>
      </c>
      <c r="AA31" s="1">
        <f>IF(A31="","",1+IF(B31="백어택",설정!$B$4,IF(B31="헤드어택",설정!$B$6,0)))</f>
        <v>1</v>
      </c>
      <c r="AB31" s="1" t="e">
        <f t="shared" si="3"/>
        <v>#VALUE!</v>
      </c>
      <c r="AC31" s="1" t="e">
        <f t="shared" si="4"/>
        <v>#VALUE!</v>
      </c>
      <c r="AD31" s="1" t="e">
        <f t="shared" si="5"/>
        <v>#VALUE!</v>
      </c>
      <c r="AE31" s="1" t="e">
        <f t="shared" si="6"/>
        <v>#VALUE!</v>
      </c>
      <c r="AF31" s="13"/>
      <c r="AG31" s="13"/>
      <c r="AH31" s="13"/>
      <c r="AI31" s="13"/>
      <c r="AJ31" s="1">
        <f t="shared" si="7"/>
        <v>0</v>
      </c>
      <c r="AK31" s="1">
        <f t="shared" si="8"/>
        <v>0</v>
      </c>
      <c r="AL31" s="14">
        <f t="shared" si="9"/>
        <v>0</v>
      </c>
      <c r="AM31" s="14">
        <f t="shared" si="10"/>
        <v>0</v>
      </c>
      <c r="AN31" s="1">
        <f>IF(AW31=1,IFERROR(IF(N31&gt;0,N31,IF(M31&gt;0,1,0))/통합_입력!$T$2*통합_입력!$L$2,0),0)</f>
        <v>0</v>
      </c>
      <c r="AO31" s="14">
        <f t="shared" si="11"/>
        <v>0</v>
      </c>
      <c r="AP31" s="12" t="str">
        <f t="shared" si="12"/>
        <v/>
      </c>
      <c r="AQ31" s="12" t="str">
        <f t="shared" si="13"/>
        <v/>
      </c>
      <c r="AR31" s="12" t="str">
        <f t="shared" si="14"/>
        <v/>
      </c>
      <c r="AS31" s="12" t="str">
        <f t="shared" si="15"/>
        <v/>
      </c>
      <c r="AT31" s="12" t="str">
        <f t="shared" si="16"/>
        <v/>
      </c>
      <c r="AU31" s="12" t="str">
        <f>IF(AW31=1,IFERROR((IF(I31&gt;0,I31,IF(H31&gt;0,1,0))/통합_입력!$L$2)/(IF(N31&gt;0,N31,IF(M31&gt;0,1,0))/통합_입력!$T$2),0),"")</f>
        <v/>
      </c>
      <c r="AV31" s="1">
        <f>통합_입력!I32</f>
        <v>0</v>
      </c>
      <c r="AW31" s="1">
        <f t="shared" si="17"/>
        <v>0</v>
      </c>
      <c r="AX31" s="1" t="str">
        <f t="shared" si="18"/>
        <v>실전 미사용/피해 없음</v>
      </c>
    </row>
    <row r="32" spans="1:50" ht="28.5">
      <c r="A32" s="2">
        <f>통합_입력!A33</f>
        <v>0</v>
      </c>
      <c r="B32" s="2">
        <f>통합_입력!B33</f>
        <v>0</v>
      </c>
      <c r="C32" s="18" t="str">
        <f>통합_입력!D33</f>
        <v/>
      </c>
      <c r="D32" s="18">
        <f>통합_입력!E33</f>
        <v>0</v>
      </c>
      <c r="E32" s="18" t="str">
        <f>통합_입력!F33</f>
        <v/>
      </c>
      <c r="F32" s="19" t="str">
        <f>통합_입력!G33</f>
        <v/>
      </c>
      <c r="G32" s="2" t="str">
        <f>통합_입력!H33</f>
        <v/>
      </c>
      <c r="H32" s="20">
        <f>통합_입력!K33</f>
        <v>0</v>
      </c>
      <c r="I32" s="2">
        <f>통합_입력!M33</f>
        <v>0</v>
      </c>
      <c r="J32" s="19">
        <f>통합_입력!N33</f>
        <v>0</v>
      </c>
      <c r="K32" s="19">
        <f>통합_입력!O33</f>
        <v>0</v>
      </c>
      <c r="L32" s="19">
        <f>통합_입력!P33</f>
        <v>0</v>
      </c>
      <c r="M32" s="20">
        <f>통합_입력!S33</f>
        <v>0</v>
      </c>
      <c r="N32" s="2">
        <f>통합_입력!U33</f>
        <v>0</v>
      </c>
      <c r="O32" s="19">
        <f>통합_입력!V33</f>
        <v>0</v>
      </c>
      <c r="P32" s="19">
        <f>통합_입력!W33</f>
        <v>0</v>
      </c>
      <c r="Q32" s="19">
        <f t="shared" si="0"/>
        <v>1</v>
      </c>
      <c r="R32" s="19">
        <f>IF(A32="","",MIN(1,설정!$B$8+IF(B32="백어택",설정!$B$5*L32,IF(B32="헤드어택",설정!$B$7*L32,0))))</f>
        <v>0.9</v>
      </c>
      <c r="S32" s="19">
        <f>IF(A32="","",MIN(1,설정!$B$8+IF(B32="백어택",설정!$B$5,IF(B32="헤드어택",설정!$B$7,0))))</f>
        <v>0.9</v>
      </c>
      <c r="T32" s="19">
        <f>IF(A32="","",IF(G32="뭉툭한가시",설정!$B$13,R32))</f>
        <v>0.9</v>
      </c>
      <c r="U32" s="19">
        <f>IF(A32="","",IF(G32="뭉툭한가시",설정!$B$13,S32))</f>
        <v>0.9</v>
      </c>
      <c r="V32" s="19">
        <f>IF(A32="","",IF(G32="뭉툭한가시",MAX(0,MIN(설정!$B$14,(R32-설정!$B$16)/(설정!$B$15-설정!$B$16)*설정!$B$14)),설정!$B$12))</f>
        <v>0.24</v>
      </c>
      <c r="W32" s="19">
        <f>IF(A32="","",IF(G32="뭉툭한가시",MAX(0,MIN(설정!$B$14,(S32-설정!$B$16)/(설정!$B$15-설정!$B$16)*설정!$B$14)),설정!$B$12))</f>
        <v>0.24</v>
      </c>
      <c r="X32" s="2" t="e">
        <f t="shared" si="1"/>
        <v>#VALUE!</v>
      </c>
      <c r="Y32" s="2" t="e">
        <f t="shared" si="2"/>
        <v>#VALUE!</v>
      </c>
      <c r="Z32" s="2">
        <f>IF(A32="","",1+IF(B32="백어택",설정!$B$4*L32,IF(B32="헤드어택",설정!$B$6*L32,0)))</f>
        <v>1</v>
      </c>
      <c r="AA32" s="1">
        <f>IF(A32="","",1+IF(B32="백어택",설정!$B$4,IF(B32="헤드어택",설정!$B$6,0)))</f>
        <v>1</v>
      </c>
      <c r="AB32" s="1" t="e">
        <f t="shared" si="3"/>
        <v>#VALUE!</v>
      </c>
      <c r="AC32" s="1" t="e">
        <f t="shared" si="4"/>
        <v>#VALUE!</v>
      </c>
      <c r="AD32" s="1" t="e">
        <f t="shared" si="5"/>
        <v>#VALUE!</v>
      </c>
      <c r="AE32" s="1" t="e">
        <f t="shared" si="6"/>
        <v>#VALUE!</v>
      </c>
      <c r="AF32" s="13"/>
      <c r="AG32" s="13"/>
      <c r="AH32" s="13"/>
      <c r="AI32" s="13"/>
      <c r="AJ32" s="1">
        <f t="shared" si="7"/>
        <v>0</v>
      </c>
      <c r="AK32" s="1">
        <f t="shared" si="8"/>
        <v>0</v>
      </c>
      <c r="AL32" s="14">
        <f t="shared" si="9"/>
        <v>0</v>
      </c>
      <c r="AM32" s="14">
        <f t="shared" si="10"/>
        <v>0</v>
      </c>
      <c r="AN32" s="1">
        <f>IF(AW32=1,IFERROR(IF(N32&gt;0,N32,IF(M32&gt;0,1,0))/통합_입력!$T$2*통합_입력!$L$2,0),0)</f>
        <v>0</v>
      </c>
      <c r="AO32" s="14">
        <f t="shared" si="11"/>
        <v>0</v>
      </c>
      <c r="AP32" s="12" t="str">
        <f t="shared" si="12"/>
        <v/>
      </c>
      <c r="AQ32" s="12" t="str">
        <f t="shared" si="13"/>
        <v/>
      </c>
      <c r="AR32" s="12" t="str">
        <f t="shared" si="14"/>
        <v/>
      </c>
      <c r="AS32" s="12" t="str">
        <f t="shared" si="15"/>
        <v/>
      </c>
      <c r="AT32" s="12" t="str">
        <f t="shared" si="16"/>
        <v/>
      </c>
      <c r="AU32" s="12" t="str">
        <f>IF(AW32=1,IFERROR((IF(I32&gt;0,I32,IF(H32&gt;0,1,0))/통합_입력!$L$2)/(IF(N32&gt;0,N32,IF(M32&gt;0,1,0))/통합_입력!$T$2),0),"")</f>
        <v/>
      </c>
      <c r="AV32" s="1">
        <f>통합_입력!I33</f>
        <v>0</v>
      </c>
      <c r="AW32" s="1">
        <f t="shared" si="17"/>
        <v>0</v>
      </c>
      <c r="AX32" s="1" t="str">
        <f t="shared" si="18"/>
        <v>실전 미사용/피해 없음</v>
      </c>
    </row>
    <row r="33" spans="1:50" ht="28.5">
      <c r="A33" s="2">
        <f>통합_입력!A34</f>
        <v>0</v>
      </c>
      <c r="B33" s="2">
        <f>통합_입력!B34</f>
        <v>0</v>
      </c>
      <c r="C33" s="18" t="str">
        <f>통합_입력!D34</f>
        <v/>
      </c>
      <c r="D33" s="18">
        <f>통합_입력!E34</f>
        <v>0</v>
      </c>
      <c r="E33" s="18" t="str">
        <f>통합_입력!F34</f>
        <v/>
      </c>
      <c r="F33" s="19" t="str">
        <f>통합_입력!G34</f>
        <v/>
      </c>
      <c r="G33" s="2" t="str">
        <f>통합_입력!H34</f>
        <v/>
      </c>
      <c r="H33" s="20">
        <f>통합_입력!K34</f>
        <v>0</v>
      </c>
      <c r="I33" s="2">
        <f>통합_입력!M34</f>
        <v>0</v>
      </c>
      <c r="J33" s="19">
        <f>통합_입력!N34</f>
        <v>0</v>
      </c>
      <c r="K33" s="19">
        <f>통합_입력!O34</f>
        <v>0</v>
      </c>
      <c r="L33" s="19">
        <f>통합_입력!P34</f>
        <v>0</v>
      </c>
      <c r="M33" s="20">
        <f>통합_입력!S34</f>
        <v>0</v>
      </c>
      <c r="N33" s="2">
        <f>통합_입력!U34</f>
        <v>0</v>
      </c>
      <c r="O33" s="19">
        <f>통합_입력!V34</f>
        <v>0</v>
      </c>
      <c r="P33" s="19">
        <f>통합_입력!W34</f>
        <v>0</v>
      </c>
      <c r="Q33" s="19">
        <f t="shared" si="0"/>
        <v>1</v>
      </c>
      <c r="R33" s="19">
        <f>IF(A33="","",MIN(1,설정!$B$8+IF(B33="백어택",설정!$B$5*L33,IF(B33="헤드어택",설정!$B$7*L33,0))))</f>
        <v>0.9</v>
      </c>
      <c r="S33" s="19">
        <f>IF(A33="","",MIN(1,설정!$B$8+IF(B33="백어택",설정!$B$5,IF(B33="헤드어택",설정!$B$7,0))))</f>
        <v>0.9</v>
      </c>
      <c r="T33" s="19">
        <f>IF(A33="","",IF(G33="뭉툭한가시",설정!$B$13,R33))</f>
        <v>0.9</v>
      </c>
      <c r="U33" s="19">
        <f>IF(A33="","",IF(G33="뭉툭한가시",설정!$B$13,S33))</f>
        <v>0.9</v>
      </c>
      <c r="V33" s="19">
        <f>IF(A33="","",IF(G33="뭉툭한가시",MAX(0,MIN(설정!$B$14,(R33-설정!$B$16)/(설정!$B$15-설정!$B$16)*설정!$B$14)),설정!$B$12))</f>
        <v>0.24</v>
      </c>
      <c r="W33" s="19">
        <f>IF(A33="","",IF(G33="뭉툭한가시",MAX(0,MIN(설정!$B$14,(S33-설정!$B$16)/(설정!$B$15-설정!$B$16)*설정!$B$14)),설정!$B$12))</f>
        <v>0.24</v>
      </c>
      <c r="X33" s="2" t="e">
        <f t="shared" si="1"/>
        <v>#VALUE!</v>
      </c>
      <c r="Y33" s="2" t="e">
        <f t="shared" si="2"/>
        <v>#VALUE!</v>
      </c>
      <c r="Z33" s="2">
        <f>IF(A33="","",1+IF(B33="백어택",설정!$B$4*L33,IF(B33="헤드어택",설정!$B$6*L33,0)))</f>
        <v>1</v>
      </c>
      <c r="AA33" s="1">
        <f>IF(A33="","",1+IF(B33="백어택",설정!$B$4,IF(B33="헤드어택",설정!$B$6,0)))</f>
        <v>1</v>
      </c>
      <c r="AB33" s="1" t="e">
        <f t="shared" si="3"/>
        <v>#VALUE!</v>
      </c>
      <c r="AC33" s="1" t="e">
        <f t="shared" si="4"/>
        <v>#VALUE!</v>
      </c>
      <c r="AD33" s="1" t="e">
        <f t="shared" si="5"/>
        <v>#VALUE!</v>
      </c>
      <c r="AE33" s="1" t="e">
        <f t="shared" si="6"/>
        <v>#VALUE!</v>
      </c>
      <c r="AF33" s="13"/>
      <c r="AG33" s="13"/>
      <c r="AH33" s="13"/>
      <c r="AI33" s="13"/>
      <c r="AJ33" s="1">
        <f t="shared" si="7"/>
        <v>0</v>
      </c>
      <c r="AK33" s="1">
        <f t="shared" si="8"/>
        <v>0</v>
      </c>
      <c r="AL33" s="14">
        <f t="shared" si="9"/>
        <v>0</v>
      </c>
      <c r="AM33" s="14">
        <f t="shared" si="10"/>
        <v>0</v>
      </c>
      <c r="AN33" s="1">
        <f>IF(AW33=1,IFERROR(IF(N33&gt;0,N33,IF(M33&gt;0,1,0))/통합_입력!$T$2*통합_입력!$L$2,0),0)</f>
        <v>0</v>
      </c>
      <c r="AO33" s="14">
        <f t="shared" si="11"/>
        <v>0</v>
      </c>
      <c r="AP33" s="12" t="str">
        <f t="shared" si="12"/>
        <v/>
      </c>
      <c r="AQ33" s="12" t="str">
        <f t="shared" si="13"/>
        <v/>
      </c>
      <c r="AR33" s="12" t="str">
        <f t="shared" si="14"/>
        <v/>
      </c>
      <c r="AS33" s="12" t="str">
        <f t="shared" si="15"/>
        <v/>
      </c>
      <c r="AT33" s="12" t="str">
        <f t="shared" si="16"/>
        <v/>
      </c>
      <c r="AU33" s="12" t="str">
        <f>IF(AW33=1,IFERROR((IF(I33&gt;0,I33,IF(H33&gt;0,1,0))/통합_입력!$L$2)/(IF(N33&gt;0,N33,IF(M33&gt;0,1,0))/통합_입력!$T$2),0),"")</f>
        <v/>
      </c>
      <c r="AV33" s="1">
        <f>통합_입력!I34</f>
        <v>0</v>
      </c>
      <c r="AW33" s="1">
        <f t="shared" si="17"/>
        <v>0</v>
      </c>
      <c r="AX33" s="1" t="str">
        <f t="shared" si="18"/>
        <v>실전 미사용/피해 없음</v>
      </c>
    </row>
    <row r="34" spans="1:50" ht="28.5">
      <c r="A34" s="2">
        <f>통합_입력!A35</f>
        <v>0</v>
      </c>
      <c r="B34" s="2">
        <f>통합_입력!B35</f>
        <v>0</v>
      </c>
      <c r="C34" s="18" t="str">
        <f>통합_입력!D35</f>
        <v/>
      </c>
      <c r="D34" s="18">
        <f>통합_입력!E35</f>
        <v>0</v>
      </c>
      <c r="E34" s="18" t="str">
        <f>통합_입력!F35</f>
        <v/>
      </c>
      <c r="F34" s="19" t="str">
        <f>통합_입력!G35</f>
        <v/>
      </c>
      <c r="G34" s="2" t="str">
        <f>통합_입력!H35</f>
        <v/>
      </c>
      <c r="H34" s="20">
        <f>통합_입력!K35</f>
        <v>0</v>
      </c>
      <c r="I34" s="2">
        <f>통합_입력!M35</f>
        <v>0</v>
      </c>
      <c r="J34" s="19">
        <f>통합_입력!N35</f>
        <v>0</v>
      </c>
      <c r="K34" s="19">
        <f>통합_입력!O35</f>
        <v>0</v>
      </c>
      <c r="L34" s="19">
        <f>통합_입력!P35</f>
        <v>0</v>
      </c>
      <c r="M34" s="20">
        <f>통합_입력!S35</f>
        <v>0</v>
      </c>
      <c r="N34" s="2">
        <f>통합_입력!U35</f>
        <v>0</v>
      </c>
      <c r="O34" s="19">
        <f>통합_입력!V35</f>
        <v>0</v>
      </c>
      <c r="P34" s="19">
        <f>통합_입력!W35</f>
        <v>0</v>
      </c>
      <c r="Q34" s="19">
        <f t="shared" si="0"/>
        <v>1</v>
      </c>
      <c r="R34" s="19">
        <f>IF(A34="","",MIN(1,설정!$B$8+IF(B34="백어택",설정!$B$5*L34,IF(B34="헤드어택",설정!$B$7*L34,0))))</f>
        <v>0.9</v>
      </c>
      <c r="S34" s="19">
        <f>IF(A34="","",MIN(1,설정!$B$8+IF(B34="백어택",설정!$B$5,IF(B34="헤드어택",설정!$B$7,0))))</f>
        <v>0.9</v>
      </c>
      <c r="T34" s="19">
        <f>IF(A34="","",IF(G34="뭉툭한가시",설정!$B$13,R34))</f>
        <v>0.9</v>
      </c>
      <c r="U34" s="19">
        <f>IF(A34="","",IF(G34="뭉툭한가시",설정!$B$13,S34))</f>
        <v>0.9</v>
      </c>
      <c r="V34" s="19">
        <f>IF(A34="","",IF(G34="뭉툭한가시",MAX(0,MIN(설정!$B$14,(R34-설정!$B$16)/(설정!$B$15-설정!$B$16)*설정!$B$14)),설정!$B$12))</f>
        <v>0.24</v>
      </c>
      <c r="W34" s="19">
        <f>IF(A34="","",IF(G34="뭉툭한가시",MAX(0,MIN(설정!$B$14,(S34-설정!$B$16)/(설정!$B$15-설정!$B$16)*설정!$B$14)),설정!$B$12))</f>
        <v>0.24</v>
      </c>
      <c r="X34" s="2" t="e">
        <f t="shared" si="1"/>
        <v>#VALUE!</v>
      </c>
      <c r="Y34" s="2" t="e">
        <f t="shared" si="2"/>
        <v>#VALUE!</v>
      </c>
      <c r="Z34" s="2">
        <f>IF(A34="","",1+IF(B34="백어택",설정!$B$4*L34,IF(B34="헤드어택",설정!$B$6*L34,0)))</f>
        <v>1</v>
      </c>
      <c r="AA34" s="1">
        <f>IF(A34="","",1+IF(B34="백어택",설정!$B$4,IF(B34="헤드어택",설정!$B$6,0)))</f>
        <v>1</v>
      </c>
      <c r="AB34" s="1" t="e">
        <f t="shared" si="3"/>
        <v>#VALUE!</v>
      </c>
      <c r="AC34" s="1" t="e">
        <f t="shared" si="4"/>
        <v>#VALUE!</v>
      </c>
      <c r="AD34" s="1" t="e">
        <f t="shared" si="5"/>
        <v>#VALUE!</v>
      </c>
      <c r="AE34" s="1" t="e">
        <f t="shared" si="6"/>
        <v>#VALUE!</v>
      </c>
      <c r="AF34" s="13"/>
      <c r="AG34" s="13"/>
      <c r="AH34" s="13"/>
      <c r="AI34" s="13"/>
      <c r="AJ34" s="1">
        <f t="shared" si="7"/>
        <v>0</v>
      </c>
      <c r="AK34" s="1">
        <f t="shared" si="8"/>
        <v>0</v>
      </c>
      <c r="AL34" s="14">
        <f t="shared" si="9"/>
        <v>0</v>
      </c>
      <c r="AM34" s="14">
        <f t="shared" si="10"/>
        <v>0</v>
      </c>
      <c r="AN34" s="1">
        <f>IF(AW34=1,IFERROR(IF(N34&gt;0,N34,IF(M34&gt;0,1,0))/통합_입력!$T$2*통합_입력!$L$2,0),0)</f>
        <v>0</v>
      </c>
      <c r="AO34" s="14">
        <f t="shared" si="11"/>
        <v>0</v>
      </c>
      <c r="AP34" s="12" t="str">
        <f t="shared" si="12"/>
        <v/>
      </c>
      <c r="AQ34" s="12" t="str">
        <f t="shared" si="13"/>
        <v/>
      </c>
      <c r="AR34" s="12" t="str">
        <f t="shared" si="14"/>
        <v/>
      </c>
      <c r="AS34" s="12" t="str">
        <f t="shared" si="15"/>
        <v/>
      </c>
      <c r="AT34" s="12" t="str">
        <f t="shared" si="16"/>
        <v/>
      </c>
      <c r="AU34" s="12" t="str">
        <f>IF(AW34=1,IFERROR((IF(I34&gt;0,I34,IF(H34&gt;0,1,0))/통합_입력!$L$2)/(IF(N34&gt;0,N34,IF(M34&gt;0,1,0))/통합_입력!$T$2),0),"")</f>
        <v/>
      </c>
      <c r="AV34" s="1">
        <f>통합_입력!I35</f>
        <v>0</v>
      </c>
      <c r="AW34" s="1">
        <f t="shared" si="17"/>
        <v>0</v>
      </c>
      <c r="AX34" s="1" t="str">
        <f t="shared" si="18"/>
        <v>실전 미사용/피해 없음</v>
      </c>
    </row>
    <row r="35" spans="1:50" ht="28.5">
      <c r="A35" s="2">
        <f>통합_입력!A36</f>
        <v>0</v>
      </c>
      <c r="B35" s="2">
        <f>통합_입력!B36</f>
        <v>0</v>
      </c>
      <c r="C35" s="18" t="str">
        <f>통합_입력!D36</f>
        <v/>
      </c>
      <c r="D35" s="18">
        <f>통합_입력!E36</f>
        <v>0</v>
      </c>
      <c r="E35" s="18" t="str">
        <f>통합_입력!F36</f>
        <v/>
      </c>
      <c r="F35" s="19" t="str">
        <f>통합_입력!G36</f>
        <v/>
      </c>
      <c r="G35" s="2" t="str">
        <f>통합_입력!H36</f>
        <v/>
      </c>
      <c r="H35" s="20">
        <f>통합_입력!K36</f>
        <v>0</v>
      </c>
      <c r="I35" s="2">
        <f>통합_입력!M36</f>
        <v>0</v>
      </c>
      <c r="J35" s="19">
        <f>통합_입력!N36</f>
        <v>0</v>
      </c>
      <c r="K35" s="19">
        <f>통합_입력!O36</f>
        <v>0</v>
      </c>
      <c r="L35" s="19">
        <f>통합_입력!P36</f>
        <v>0</v>
      </c>
      <c r="M35" s="20">
        <f>통합_입력!S36</f>
        <v>0</v>
      </c>
      <c r="N35" s="2">
        <f>통합_입력!U36</f>
        <v>0</v>
      </c>
      <c r="O35" s="19">
        <f>통합_입력!V36</f>
        <v>0</v>
      </c>
      <c r="P35" s="19">
        <f>통합_입력!W36</f>
        <v>0</v>
      </c>
      <c r="Q35" s="19">
        <f t="shared" si="0"/>
        <v>1</v>
      </c>
      <c r="R35" s="19">
        <f>IF(A35="","",MIN(1,설정!$B$8+IF(B35="백어택",설정!$B$5*L35,IF(B35="헤드어택",설정!$B$7*L35,0))))</f>
        <v>0.9</v>
      </c>
      <c r="S35" s="19">
        <f>IF(A35="","",MIN(1,설정!$B$8+IF(B35="백어택",설정!$B$5,IF(B35="헤드어택",설정!$B$7,0))))</f>
        <v>0.9</v>
      </c>
      <c r="T35" s="19">
        <f>IF(A35="","",IF(G35="뭉툭한가시",설정!$B$13,R35))</f>
        <v>0.9</v>
      </c>
      <c r="U35" s="19">
        <f>IF(A35="","",IF(G35="뭉툭한가시",설정!$B$13,S35))</f>
        <v>0.9</v>
      </c>
      <c r="V35" s="19">
        <f>IF(A35="","",IF(G35="뭉툭한가시",MAX(0,MIN(설정!$B$14,(R35-설정!$B$16)/(설정!$B$15-설정!$B$16)*설정!$B$14)),설정!$B$12))</f>
        <v>0.24</v>
      </c>
      <c r="W35" s="19">
        <f>IF(A35="","",IF(G35="뭉툭한가시",MAX(0,MIN(설정!$B$14,(S35-설정!$B$16)/(설정!$B$15-설정!$B$16)*설정!$B$14)),설정!$B$12))</f>
        <v>0.24</v>
      </c>
      <c r="X35" s="2" t="e">
        <f t="shared" si="1"/>
        <v>#VALUE!</v>
      </c>
      <c r="Y35" s="2" t="e">
        <f t="shared" si="2"/>
        <v>#VALUE!</v>
      </c>
      <c r="Z35" s="2">
        <f>IF(A35="","",1+IF(B35="백어택",설정!$B$4*L35,IF(B35="헤드어택",설정!$B$6*L35,0)))</f>
        <v>1</v>
      </c>
      <c r="AA35" s="1">
        <f>IF(A35="","",1+IF(B35="백어택",설정!$B$4,IF(B35="헤드어택",설정!$B$6,0)))</f>
        <v>1</v>
      </c>
      <c r="AB35" s="1" t="e">
        <f t="shared" si="3"/>
        <v>#VALUE!</v>
      </c>
      <c r="AC35" s="1" t="e">
        <f t="shared" si="4"/>
        <v>#VALUE!</v>
      </c>
      <c r="AD35" s="1" t="e">
        <f t="shared" si="5"/>
        <v>#VALUE!</v>
      </c>
      <c r="AE35" s="1" t="e">
        <f t="shared" si="6"/>
        <v>#VALUE!</v>
      </c>
      <c r="AF35" s="13"/>
      <c r="AG35" s="13"/>
      <c r="AH35" s="13"/>
      <c r="AI35" s="13"/>
      <c r="AJ35" s="1">
        <f t="shared" si="7"/>
        <v>0</v>
      </c>
      <c r="AK35" s="1">
        <f t="shared" si="8"/>
        <v>0</v>
      </c>
      <c r="AL35" s="14">
        <f t="shared" si="9"/>
        <v>0</v>
      </c>
      <c r="AM35" s="14">
        <f t="shared" si="10"/>
        <v>0</v>
      </c>
      <c r="AN35" s="1">
        <f>IF(AW35=1,IFERROR(IF(N35&gt;0,N35,IF(M35&gt;0,1,0))/통합_입력!$T$2*통합_입력!$L$2,0),0)</f>
        <v>0</v>
      </c>
      <c r="AO35" s="14">
        <f t="shared" si="11"/>
        <v>0</v>
      </c>
      <c r="AP35" s="12" t="str">
        <f t="shared" si="12"/>
        <v/>
      </c>
      <c r="AQ35" s="12" t="str">
        <f t="shared" si="13"/>
        <v/>
      </c>
      <c r="AR35" s="12" t="str">
        <f t="shared" si="14"/>
        <v/>
      </c>
      <c r="AS35" s="12" t="str">
        <f t="shared" si="15"/>
        <v/>
      </c>
      <c r="AT35" s="12" t="str">
        <f t="shared" si="16"/>
        <v/>
      </c>
      <c r="AU35" s="12" t="str">
        <f>IF(AW35=1,IFERROR((IF(I35&gt;0,I35,IF(H35&gt;0,1,0))/통합_입력!$L$2)/(IF(N35&gt;0,N35,IF(M35&gt;0,1,0))/통합_입력!$T$2),0),"")</f>
        <v/>
      </c>
      <c r="AV35" s="1">
        <f>통합_입력!I36</f>
        <v>0</v>
      </c>
      <c r="AW35" s="1">
        <f t="shared" si="17"/>
        <v>0</v>
      </c>
      <c r="AX35" s="1" t="str">
        <f t="shared" si="18"/>
        <v>실전 미사용/피해 없음</v>
      </c>
    </row>
    <row r="36" spans="1:50" ht="28.5">
      <c r="A36" s="2">
        <f>통합_입력!A37</f>
        <v>0</v>
      </c>
      <c r="B36" s="2">
        <f>통합_입력!B37</f>
        <v>0</v>
      </c>
      <c r="C36" s="18" t="str">
        <f>통합_입력!D37</f>
        <v/>
      </c>
      <c r="D36" s="18">
        <f>통합_입력!E37</f>
        <v>0</v>
      </c>
      <c r="E36" s="18" t="str">
        <f>통합_입력!F37</f>
        <v/>
      </c>
      <c r="F36" s="19" t="str">
        <f>통합_입력!G37</f>
        <v/>
      </c>
      <c r="G36" s="2" t="str">
        <f>통합_입력!H37</f>
        <v/>
      </c>
      <c r="H36" s="20">
        <f>통합_입력!K37</f>
        <v>0</v>
      </c>
      <c r="I36" s="2">
        <f>통합_입력!M37</f>
        <v>0</v>
      </c>
      <c r="J36" s="19">
        <f>통합_입력!N37</f>
        <v>0</v>
      </c>
      <c r="K36" s="19">
        <f>통합_입력!O37</f>
        <v>0</v>
      </c>
      <c r="L36" s="19">
        <f>통합_입력!P37</f>
        <v>0</v>
      </c>
      <c r="M36" s="20">
        <f>통합_입력!S37</f>
        <v>0</v>
      </c>
      <c r="N36" s="2">
        <f>통합_입력!U37</f>
        <v>0</v>
      </c>
      <c r="O36" s="19">
        <f>통합_입력!V37</f>
        <v>0</v>
      </c>
      <c r="P36" s="19">
        <f>통합_입력!W37</f>
        <v>0</v>
      </c>
      <c r="Q36" s="19">
        <f t="shared" si="0"/>
        <v>1</v>
      </c>
      <c r="R36" s="19">
        <f>IF(A36="","",MIN(1,설정!$B$8+IF(B36="백어택",설정!$B$5*L36,IF(B36="헤드어택",설정!$B$7*L36,0))))</f>
        <v>0.9</v>
      </c>
      <c r="S36" s="19">
        <f>IF(A36="","",MIN(1,설정!$B$8+IF(B36="백어택",설정!$B$5,IF(B36="헤드어택",설정!$B$7,0))))</f>
        <v>0.9</v>
      </c>
      <c r="T36" s="19">
        <f>IF(A36="","",IF(G36="뭉툭한가시",설정!$B$13,R36))</f>
        <v>0.9</v>
      </c>
      <c r="U36" s="19">
        <f>IF(A36="","",IF(G36="뭉툭한가시",설정!$B$13,S36))</f>
        <v>0.9</v>
      </c>
      <c r="V36" s="19">
        <f>IF(A36="","",IF(G36="뭉툭한가시",MAX(0,MIN(설정!$B$14,(R36-설정!$B$16)/(설정!$B$15-설정!$B$16)*설정!$B$14)),설정!$B$12))</f>
        <v>0.24</v>
      </c>
      <c r="W36" s="19">
        <f>IF(A36="","",IF(G36="뭉툭한가시",MAX(0,MIN(설정!$B$14,(S36-설정!$B$16)/(설정!$B$15-설정!$B$16)*설정!$B$14)),설정!$B$12))</f>
        <v>0.24</v>
      </c>
      <c r="X36" s="2" t="e">
        <f t="shared" si="1"/>
        <v>#VALUE!</v>
      </c>
      <c r="Y36" s="2" t="e">
        <f t="shared" si="2"/>
        <v>#VALUE!</v>
      </c>
      <c r="Z36" s="2">
        <f>IF(A36="","",1+IF(B36="백어택",설정!$B$4*L36,IF(B36="헤드어택",설정!$B$6*L36,0)))</f>
        <v>1</v>
      </c>
      <c r="AA36" s="1">
        <f>IF(A36="","",1+IF(B36="백어택",설정!$B$4,IF(B36="헤드어택",설정!$B$6,0)))</f>
        <v>1</v>
      </c>
      <c r="AB36" s="1" t="e">
        <f t="shared" si="3"/>
        <v>#VALUE!</v>
      </c>
      <c r="AC36" s="1" t="e">
        <f t="shared" si="4"/>
        <v>#VALUE!</v>
      </c>
      <c r="AD36" s="1" t="e">
        <f t="shared" si="5"/>
        <v>#VALUE!</v>
      </c>
      <c r="AE36" s="1" t="e">
        <f t="shared" si="6"/>
        <v>#VALUE!</v>
      </c>
      <c r="AF36" s="13"/>
      <c r="AG36" s="13"/>
      <c r="AH36" s="13"/>
      <c r="AI36" s="13"/>
      <c r="AJ36" s="1">
        <f t="shared" si="7"/>
        <v>0</v>
      </c>
      <c r="AK36" s="1">
        <f t="shared" si="8"/>
        <v>0</v>
      </c>
      <c r="AL36" s="14">
        <f t="shared" si="9"/>
        <v>0</v>
      </c>
      <c r="AM36" s="14">
        <f t="shared" si="10"/>
        <v>0</v>
      </c>
      <c r="AN36" s="1">
        <f>IF(AW36=1,IFERROR(IF(N36&gt;0,N36,IF(M36&gt;0,1,0))/통합_입력!$T$2*통합_입력!$L$2,0),0)</f>
        <v>0</v>
      </c>
      <c r="AO36" s="14">
        <f t="shared" si="11"/>
        <v>0</v>
      </c>
      <c r="AP36" s="12" t="str">
        <f t="shared" si="12"/>
        <v/>
      </c>
      <c r="AQ36" s="12" t="str">
        <f t="shared" si="13"/>
        <v/>
      </c>
      <c r="AR36" s="12" t="str">
        <f t="shared" si="14"/>
        <v/>
      </c>
      <c r="AS36" s="12" t="str">
        <f t="shared" si="15"/>
        <v/>
      </c>
      <c r="AT36" s="12" t="str">
        <f t="shared" si="16"/>
        <v/>
      </c>
      <c r="AU36" s="12" t="str">
        <f>IF(AW36=1,IFERROR((IF(I36&gt;0,I36,IF(H36&gt;0,1,0))/통합_입력!$L$2)/(IF(N36&gt;0,N36,IF(M36&gt;0,1,0))/통합_입력!$T$2),0),"")</f>
        <v/>
      </c>
      <c r="AV36" s="1">
        <f>통합_입력!I37</f>
        <v>0</v>
      </c>
      <c r="AW36" s="1">
        <f t="shared" si="17"/>
        <v>0</v>
      </c>
      <c r="AX36" s="1" t="str">
        <f t="shared" si="18"/>
        <v>실전 미사용/피해 없음</v>
      </c>
    </row>
    <row r="37" spans="1:50" ht="28.5">
      <c r="A37" s="2">
        <f>통합_입력!A38</f>
        <v>0</v>
      </c>
      <c r="B37" s="2">
        <f>통합_입력!B38</f>
        <v>0</v>
      </c>
      <c r="C37" s="18" t="str">
        <f>통합_입력!D38</f>
        <v/>
      </c>
      <c r="D37" s="18">
        <f>통합_입력!E38</f>
        <v>0</v>
      </c>
      <c r="E37" s="18" t="str">
        <f>통합_입력!F38</f>
        <v/>
      </c>
      <c r="F37" s="19" t="str">
        <f>통합_입력!G38</f>
        <v/>
      </c>
      <c r="G37" s="2" t="str">
        <f>통합_입력!H38</f>
        <v/>
      </c>
      <c r="H37" s="20">
        <f>통합_입력!K38</f>
        <v>0</v>
      </c>
      <c r="I37" s="2">
        <f>통합_입력!M38</f>
        <v>0</v>
      </c>
      <c r="J37" s="19">
        <f>통합_입력!N38</f>
        <v>0</v>
      </c>
      <c r="K37" s="19">
        <f>통합_입력!O38</f>
        <v>0</v>
      </c>
      <c r="L37" s="19">
        <f>통합_입력!P38</f>
        <v>0</v>
      </c>
      <c r="M37" s="20">
        <f>통합_입력!S38</f>
        <v>0</v>
      </c>
      <c r="N37" s="2">
        <f>통합_입력!U38</f>
        <v>0</v>
      </c>
      <c r="O37" s="19">
        <f>통합_입력!V38</f>
        <v>0</v>
      </c>
      <c r="P37" s="19">
        <f>통합_입력!W38</f>
        <v>0</v>
      </c>
      <c r="Q37" s="19">
        <f t="shared" si="0"/>
        <v>1</v>
      </c>
      <c r="R37" s="19">
        <f>IF(A37="","",MIN(1,설정!$B$8+IF(B37="백어택",설정!$B$5*L37,IF(B37="헤드어택",설정!$B$7*L37,0))))</f>
        <v>0.9</v>
      </c>
      <c r="S37" s="19">
        <f>IF(A37="","",MIN(1,설정!$B$8+IF(B37="백어택",설정!$B$5,IF(B37="헤드어택",설정!$B$7,0))))</f>
        <v>0.9</v>
      </c>
      <c r="T37" s="19">
        <f>IF(A37="","",IF(G37="뭉툭한가시",설정!$B$13,R37))</f>
        <v>0.9</v>
      </c>
      <c r="U37" s="19">
        <f>IF(A37="","",IF(G37="뭉툭한가시",설정!$B$13,S37))</f>
        <v>0.9</v>
      </c>
      <c r="V37" s="19">
        <f>IF(A37="","",IF(G37="뭉툭한가시",MAX(0,MIN(설정!$B$14,(R37-설정!$B$16)/(설정!$B$15-설정!$B$16)*설정!$B$14)),설정!$B$12))</f>
        <v>0.24</v>
      </c>
      <c r="W37" s="19">
        <f>IF(A37="","",IF(G37="뭉툭한가시",MAX(0,MIN(설정!$B$14,(S37-설정!$B$16)/(설정!$B$15-설정!$B$16)*설정!$B$14)),설정!$B$12))</f>
        <v>0.24</v>
      </c>
      <c r="X37" s="2" t="e">
        <f t="shared" si="1"/>
        <v>#VALUE!</v>
      </c>
      <c r="Y37" s="2" t="e">
        <f t="shared" si="2"/>
        <v>#VALUE!</v>
      </c>
      <c r="Z37" s="2">
        <f>IF(A37="","",1+IF(B37="백어택",설정!$B$4*L37,IF(B37="헤드어택",설정!$B$6*L37,0)))</f>
        <v>1</v>
      </c>
      <c r="AA37" s="1">
        <f>IF(A37="","",1+IF(B37="백어택",설정!$B$4,IF(B37="헤드어택",설정!$B$6,0)))</f>
        <v>1</v>
      </c>
      <c r="AB37" s="1" t="e">
        <f t="shared" si="3"/>
        <v>#VALUE!</v>
      </c>
      <c r="AC37" s="1" t="e">
        <f t="shared" si="4"/>
        <v>#VALUE!</v>
      </c>
      <c r="AD37" s="1" t="e">
        <f t="shared" si="5"/>
        <v>#VALUE!</v>
      </c>
      <c r="AE37" s="1" t="e">
        <f t="shared" si="6"/>
        <v>#VALUE!</v>
      </c>
      <c r="AF37" s="13"/>
      <c r="AG37" s="13"/>
      <c r="AH37" s="13"/>
      <c r="AI37" s="13"/>
      <c r="AJ37" s="1">
        <f t="shared" si="7"/>
        <v>0</v>
      </c>
      <c r="AK37" s="1">
        <f t="shared" si="8"/>
        <v>0</v>
      </c>
      <c r="AL37" s="14">
        <f t="shared" si="9"/>
        <v>0</v>
      </c>
      <c r="AM37" s="14">
        <f t="shared" si="10"/>
        <v>0</v>
      </c>
      <c r="AN37" s="1">
        <f>IF(AW37=1,IFERROR(IF(N37&gt;0,N37,IF(M37&gt;0,1,0))/통합_입력!$T$2*통합_입력!$L$2,0),0)</f>
        <v>0</v>
      </c>
      <c r="AO37" s="14">
        <f t="shared" si="11"/>
        <v>0</v>
      </c>
      <c r="AP37" s="12" t="str">
        <f t="shared" si="12"/>
        <v/>
      </c>
      <c r="AQ37" s="12" t="str">
        <f t="shared" si="13"/>
        <v/>
      </c>
      <c r="AR37" s="12" t="str">
        <f t="shared" si="14"/>
        <v/>
      </c>
      <c r="AS37" s="12" t="str">
        <f t="shared" si="15"/>
        <v/>
      </c>
      <c r="AT37" s="12" t="str">
        <f t="shared" si="16"/>
        <v/>
      </c>
      <c r="AU37" s="12" t="str">
        <f>IF(AW37=1,IFERROR((IF(I37&gt;0,I37,IF(H37&gt;0,1,0))/통합_입력!$L$2)/(IF(N37&gt;0,N37,IF(M37&gt;0,1,0))/통합_입력!$T$2),0),"")</f>
        <v/>
      </c>
      <c r="AV37" s="1">
        <f>통합_입력!I38</f>
        <v>0</v>
      </c>
      <c r="AW37" s="1">
        <f t="shared" si="17"/>
        <v>0</v>
      </c>
      <c r="AX37" s="1" t="str">
        <f t="shared" si="18"/>
        <v>실전 미사용/피해 없음</v>
      </c>
    </row>
    <row r="38" spans="1:50" ht="28.5">
      <c r="A38" s="2">
        <f>통합_입력!A39</f>
        <v>0</v>
      </c>
      <c r="B38" s="2">
        <f>통합_입력!B39</f>
        <v>0</v>
      </c>
      <c r="C38" s="18" t="str">
        <f>통합_입력!D39</f>
        <v/>
      </c>
      <c r="D38" s="18">
        <f>통합_입력!E39</f>
        <v>0</v>
      </c>
      <c r="E38" s="18" t="str">
        <f>통합_입력!F39</f>
        <v/>
      </c>
      <c r="F38" s="19" t="str">
        <f>통합_입력!G39</f>
        <v/>
      </c>
      <c r="G38" s="2" t="str">
        <f>통합_입력!H39</f>
        <v/>
      </c>
      <c r="H38" s="20">
        <f>통합_입력!K39</f>
        <v>0</v>
      </c>
      <c r="I38" s="2">
        <f>통합_입력!M39</f>
        <v>0</v>
      </c>
      <c r="J38" s="19">
        <f>통합_입력!N39</f>
        <v>0</v>
      </c>
      <c r="K38" s="19">
        <f>통합_입력!O39</f>
        <v>0</v>
      </c>
      <c r="L38" s="19">
        <f>통합_입력!P39</f>
        <v>0</v>
      </c>
      <c r="M38" s="20">
        <f>통합_입력!S39</f>
        <v>0</v>
      </c>
      <c r="N38" s="2">
        <f>통합_입력!U39</f>
        <v>0</v>
      </c>
      <c r="O38" s="19">
        <f>통합_입력!V39</f>
        <v>0</v>
      </c>
      <c r="P38" s="19">
        <f>통합_입력!W39</f>
        <v>0</v>
      </c>
      <c r="Q38" s="19">
        <f t="shared" si="0"/>
        <v>1</v>
      </c>
      <c r="R38" s="19">
        <f>IF(A38="","",MIN(1,설정!$B$8+IF(B38="백어택",설정!$B$5*L38,IF(B38="헤드어택",설정!$B$7*L38,0))))</f>
        <v>0.9</v>
      </c>
      <c r="S38" s="19">
        <f>IF(A38="","",MIN(1,설정!$B$8+IF(B38="백어택",설정!$B$5,IF(B38="헤드어택",설정!$B$7,0))))</f>
        <v>0.9</v>
      </c>
      <c r="T38" s="19">
        <f>IF(A38="","",IF(G38="뭉툭한가시",설정!$B$13,R38))</f>
        <v>0.9</v>
      </c>
      <c r="U38" s="19">
        <f>IF(A38="","",IF(G38="뭉툭한가시",설정!$B$13,S38))</f>
        <v>0.9</v>
      </c>
      <c r="V38" s="19">
        <f>IF(A38="","",IF(G38="뭉툭한가시",MAX(0,MIN(설정!$B$14,(R38-설정!$B$16)/(설정!$B$15-설정!$B$16)*설정!$B$14)),설정!$B$12))</f>
        <v>0.24</v>
      </c>
      <c r="W38" s="19">
        <f>IF(A38="","",IF(G38="뭉툭한가시",MAX(0,MIN(설정!$B$14,(S38-설정!$B$16)/(설정!$B$15-설정!$B$16)*설정!$B$14)),설정!$B$12))</f>
        <v>0.24</v>
      </c>
      <c r="X38" s="2" t="e">
        <f t="shared" si="1"/>
        <v>#VALUE!</v>
      </c>
      <c r="Y38" s="2" t="e">
        <f t="shared" si="2"/>
        <v>#VALUE!</v>
      </c>
      <c r="Z38" s="2">
        <f>IF(A38="","",1+IF(B38="백어택",설정!$B$4*L38,IF(B38="헤드어택",설정!$B$6*L38,0)))</f>
        <v>1</v>
      </c>
      <c r="AA38" s="1">
        <f>IF(A38="","",1+IF(B38="백어택",설정!$B$4,IF(B38="헤드어택",설정!$B$6,0)))</f>
        <v>1</v>
      </c>
      <c r="AB38" s="1" t="e">
        <f t="shared" si="3"/>
        <v>#VALUE!</v>
      </c>
      <c r="AC38" s="1" t="e">
        <f t="shared" si="4"/>
        <v>#VALUE!</v>
      </c>
      <c r="AD38" s="1" t="e">
        <f t="shared" si="5"/>
        <v>#VALUE!</v>
      </c>
      <c r="AE38" s="1" t="e">
        <f t="shared" si="6"/>
        <v>#VALUE!</v>
      </c>
      <c r="AF38" s="13"/>
      <c r="AG38" s="13"/>
      <c r="AH38" s="13"/>
      <c r="AI38" s="13"/>
      <c r="AJ38" s="1">
        <f t="shared" si="7"/>
        <v>0</v>
      </c>
      <c r="AK38" s="1">
        <f t="shared" si="8"/>
        <v>0</v>
      </c>
      <c r="AL38" s="14">
        <f t="shared" si="9"/>
        <v>0</v>
      </c>
      <c r="AM38" s="14">
        <f t="shared" si="10"/>
        <v>0</v>
      </c>
      <c r="AN38" s="1">
        <f>IF(AW38=1,IFERROR(IF(N38&gt;0,N38,IF(M38&gt;0,1,0))/통합_입력!$T$2*통합_입력!$L$2,0),0)</f>
        <v>0</v>
      </c>
      <c r="AO38" s="14">
        <f t="shared" si="11"/>
        <v>0</v>
      </c>
      <c r="AP38" s="12" t="str">
        <f t="shared" si="12"/>
        <v/>
      </c>
      <c r="AQ38" s="12" t="str">
        <f t="shared" si="13"/>
        <v/>
      </c>
      <c r="AR38" s="12" t="str">
        <f t="shared" si="14"/>
        <v/>
      </c>
      <c r="AS38" s="12" t="str">
        <f t="shared" si="15"/>
        <v/>
      </c>
      <c r="AT38" s="12" t="str">
        <f t="shared" si="16"/>
        <v/>
      </c>
      <c r="AU38" s="12" t="str">
        <f>IF(AW38=1,IFERROR((IF(I38&gt;0,I38,IF(H38&gt;0,1,0))/통합_입력!$L$2)/(IF(N38&gt;0,N38,IF(M38&gt;0,1,0))/통합_입력!$T$2),0),"")</f>
        <v/>
      </c>
      <c r="AV38" s="1">
        <f>통합_입력!I39</f>
        <v>0</v>
      </c>
      <c r="AW38" s="1">
        <f t="shared" si="17"/>
        <v>0</v>
      </c>
      <c r="AX38" s="1" t="str">
        <f t="shared" si="18"/>
        <v>실전 미사용/피해 없음</v>
      </c>
    </row>
    <row r="39" spans="1:50" ht="28.5">
      <c r="A39" s="2">
        <f>통합_입력!A40</f>
        <v>0</v>
      </c>
      <c r="B39" s="2">
        <f>통합_입력!B40</f>
        <v>0</v>
      </c>
      <c r="C39" s="18" t="str">
        <f>통합_입력!D40</f>
        <v/>
      </c>
      <c r="D39" s="18">
        <f>통합_입력!E40</f>
        <v>0</v>
      </c>
      <c r="E39" s="18" t="str">
        <f>통합_입력!F40</f>
        <v/>
      </c>
      <c r="F39" s="19" t="str">
        <f>통합_입력!G40</f>
        <v/>
      </c>
      <c r="G39" s="2" t="str">
        <f>통합_입력!H40</f>
        <v/>
      </c>
      <c r="H39" s="20">
        <f>통합_입력!K40</f>
        <v>0</v>
      </c>
      <c r="I39" s="2">
        <f>통합_입력!M40</f>
        <v>0</v>
      </c>
      <c r="J39" s="19">
        <f>통합_입력!N40</f>
        <v>0</v>
      </c>
      <c r="K39" s="19">
        <f>통합_입력!O40</f>
        <v>0</v>
      </c>
      <c r="L39" s="19">
        <f>통합_입력!P40</f>
        <v>0</v>
      </c>
      <c r="M39" s="20">
        <f>통합_입력!S40</f>
        <v>0</v>
      </c>
      <c r="N39" s="2">
        <f>통합_입력!U40</f>
        <v>0</v>
      </c>
      <c r="O39" s="19">
        <f>통합_입력!V40</f>
        <v>0</v>
      </c>
      <c r="P39" s="19">
        <f>통합_입력!W40</f>
        <v>0</v>
      </c>
      <c r="Q39" s="19">
        <f t="shared" si="0"/>
        <v>1</v>
      </c>
      <c r="R39" s="19">
        <f>IF(A39="","",MIN(1,설정!$B$8+IF(B39="백어택",설정!$B$5*L39,IF(B39="헤드어택",설정!$B$7*L39,0))))</f>
        <v>0.9</v>
      </c>
      <c r="S39" s="19">
        <f>IF(A39="","",MIN(1,설정!$B$8+IF(B39="백어택",설정!$B$5,IF(B39="헤드어택",설정!$B$7,0))))</f>
        <v>0.9</v>
      </c>
      <c r="T39" s="19">
        <f>IF(A39="","",IF(G39="뭉툭한가시",설정!$B$13,R39))</f>
        <v>0.9</v>
      </c>
      <c r="U39" s="19">
        <f>IF(A39="","",IF(G39="뭉툭한가시",설정!$B$13,S39))</f>
        <v>0.9</v>
      </c>
      <c r="V39" s="19">
        <f>IF(A39="","",IF(G39="뭉툭한가시",MAX(0,MIN(설정!$B$14,(R39-설정!$B$16)/(설정!$B$15-설정!$B$16)*설정!$B$14)),설정!$B$12))</f>
        <v>0.24</v>
      </c>
      <c r="W39" s="19">
        <f>IF(A39="","",IF(G39="뭉툭한가시",MAX(0,MIN(설정!$B$14,(S39-설정!$B$16)/(설정!$B$15-설정!$B$16)*설정!$B$14)),설정!$B$12))</f>
        <v>0.24</v>
      </c>
      <c r="X39" s="2" t="e">
        <f t="shared" si="1"/>
        <v>#VALUE!</v>
      </c>
      <c r="Y39" s="2" t="e">
        <f t="shared" si="2"/>
        <v>#VALUE!</v>
      </c>
      <c r="Z39" s="2">
        <f>IF(A39="","",1+IF(B39="백어택",설정!$B$4*L39,IF(B39="헤드어택",설정!$B$6*L39,0)))</f>
        <v>1</v>
      </c>
      <c r="AA39" s="1">
        <f>IF(A39="","",1+IF(B39="백어택",설정!$B$4,IF(B39="헤드어택",설정!$B$6,0)))</f>
        <v>1</v>
      </c>
      <c r="AB39" s="1" t="e">
        <f t="shared" si="3"/>
        <v>#VALUE!</v>
      </c>
      <c r="AC39" s="1" t="e">
        <f t="shared" si="4"/>
        <v>#VALUE!</v>
      </c>
      <c r="AD39" s="1" t="e">
        <f t="shared" si="5"/>
        <v>#VALUE!</v>
      </c>
      <c r="AE39" s="1" t="e">
        <f t="shared" si="6"/>
        <v>#VALUE!</v>
      </c>
      <c r="AF39" s="13"/>
      <c r="AG39" s="13"/>
      <c r="AH39" s="13"/>
      <c r="AI39" s="13"/>
      <c r="AJ39" s="1">
        <f t="shared" si="7"/>
        <v>0</v>
      </c>
      <c r="AK39" s="1">
        <f t="shared" si="8"/>
        <v>0</v>
      </c>
      <c r="AL39" s="14">
        <f t="shared" si="9"/>
        <v>0</v>
      </c>
      <c r="AM39" s="14">
        <f t="shared" si="10"/>
        <v>0</v>
      </c>
      <c r="AN39" s="1">
        <f>IF(AW39=1,IFERROR(IF(N39&gt;0,N39,IF(M39&gt;0,1,0))/통합_입력!$T$2*통합_입력!$L$2,0),0)</f>
        <v>0</v>
      </c>
      <c r="AO39" s="14">
        <f t="shared" si="11"/>
        <v>0</v>
      </c>
      <c r="AP39" s="12" t="str">
        <f t="shared" si="12"/>
        <v/>
      </c>
      <c r="AQ39" s="12" t="str">
        <f t="shared" si="13"/>
        <v/>
      </c>
      <c r="AR39" s="12" t="str">
        <f t="shared" si="14"/>
        <v/>
      </c>
      <c r="AS39" s="12" t="str">
        <f t="shared" si="15"/>
        <v/>
      </c>
      <c r="AT39" s="12" t="str">
        <f t="shared" si="16"/>
        <v/>
      </c>
      <c r="AU39" s="12" t="str">
        <f>IF(AW39=1,IFERROR((IF(I39&gt;0,I39,IF(H39&gt;0,1,0))/통합_입력!$L$2)/(IF(N39&gt;0,N39,IF(M39&gt;0,1,0))/통합_입력!$T$2),0),"")</f>
        <v/>
      </c>
      <c r="AV39" s="1">
        <f>통합_입력!I40</f>
        <v>0</v>
      </c>
      <c r="AW39" s="1">
        <f t="shared" si="17"/>
        <v>0</v>
      </c>
      <c r="AX39" s="1" t="str">
        <f t="shared" si="18"/>
        <v>실전 미사용/피해 없음</v>
      </c>
    </row>
    <row r="40" spans="1:50" ht="28.5">
      <c r="A40" s="2">
        <f>통합_입력!A41</f>
        <v>0</v>
      </c>
      <c r="B40" s="2">
        <f>통합_입력!B41</f>
        <v>0</v>
      </c>
      <c r="C40" s="18" t="str">
        <f>통합_입력!D41</f>
        <v/>
      </c>
      <c r="D40" s="18">
        <f>통합_입력!E41</f>
        <v>0</v>
      </c>
      <c r="E40" s="18" t="str">
        <f>통합_입력!F41</f>
        <v/>
      </c>
      <c r="F40" s="19" t="str">
        <f>통합_입력!G41</f>
        <v/>
      </c>
      <c r="G40" s="2" t="str">
        <f>통합_입력!H41</f>
        <v/>
      </c>
      <c r="H40" s="20">
        <f>통합_입력!K41</f>
        <v>0</v>
      </c>
      <c r="I40" s="2">
        <f>통합_입력!M41</f>
        <v>0</v>
      </c>
      <c r="J40" s="19">
        <f>통합_입력!N41</f>
        <v>0</v>
      </c>
      <c r="K40" s="19">
        <f>통합_입력!O41</f>
        <v>0</v>
      </c>
      <c r="L40" s="19">
        <f>통합_입력!P41</f>
        <v>0</v>
      </c>
      <c r="M40" s="20">
        <f>통합_입력!S41</f>
        <v>0</v>
      </c>
      <c r="N40" s="2">
        <f>통합_입력!U41</f>
        <v>0</v>
      </c>
      <c r="O40" s="19">
        <f>통합_입력!V41</f>
        <v>0</v>
      </c>
      <c r="P40" s="19">
        <f>통합_입력!W41</f>
        <v>0</v>
      </c>
      <c r="Q40" s="19">
        <f t="shared" si="0"/>
        <v>1</v>
      </c>
      <c r="R40" s="19">
        <f>IF(A40="","",MIN(1,설정!$B$8+IF(B40="백어택",설정!$B$5*L40,IF(B40="헤드어택",설정!$B$7*L40,0))))</f>
        <v>0.9</v>
      </c>
      <c r="S40" s="19">
        <f>IF(A40="","",MIN(1,설정!$B$8+IF(B40="백어택",설정!$B$5,IF(B40="헤드어택",설정!$B$7,0))))</f>
        <v>0.9</v>
      </c>
      <c r="T40" s="19">
        <f>IF(A40="","",IF(G40="뭉툭한가시",설정!$B$13,R40))</f>
        <v>0.9</v>
      </c>
      <c r="U40" s="19">
        <f>IF(A40="","",IF(G40="뭉툭한가시",설정!$B$13,S40))</f>
        <v>0.9</v>
      </c>
      <c r="V40" s="19">
        <f>IF(A40="","",IF(G40="뭉툭한가시",MAX(0,MIN(설정!$B$14,(R40-설정!$B$16)/(설정!$B$15-설정!$B$16)*설정!$B$14)),설정!$B$12))</f>
        <v>0.24</v>
      </c>
      <c r="W40" s="19">
        <f>IF(A40="","",IF(G40="뭉툭한가시",MAX(0,MIN(설정!$B$14,(S40-설정!$B$16)/(설정!$B$15-설정!$B$16)*설정!$B$14)),설정!$B$12))</f>
        <v>0.24</v>
      </c>
      <c r="X40" s="2" t="e">
        <f t="shared" si="1"/>
        <v>#VALUE!</v>
      </c>
      <c r="Y40" s="2" t="e">
        <f t="shared" si="2"/>
        <v>#VALUE!</v>
      </c>
      <c r="Z40" s="2">
        <f>IF(A40="","",1+IF(B40="백어택",설정!$B$4*L40,IF(B40="헤드어택",설정!$B$6*L40,0)))</f>
        <v>1</v>
      </c>
      <c r="AA40" s="1">
        <f>IF(A40="","",1+IF(B40="백어택",설정!$B$4,IF(B40="헤드어택",설정!$B$6,0)))</f>
        <v>1</v>
      </c>
      <c r="AB40" s="1" t="e">
        <f t="shared" si="3"/>
        <v>#VALUE!</v>
      </c>
      <c r="AC40" s="1" t="e">
        <f t="shared" si="4"/>
        <v>#VALUE!</v>
      </c>
      <c r="AD40" s="1" t="e">
        <f t="shared" si="5"/>
        <v>#VALUE!</v>
      </c>
      <c r="AE40" s="1" t="e">
        <f t="shared" si="6"/>
        <v>#VALUE!</v>
      </c>
      <c r="AF40" s="13"/>
      <c r="AG40" s="13"/>
      <c r="AH40" s="13"/>
      <c r="AI40" s="13"/>
      <c r="AJ40" s="1">
        <f t="shared" si="7"/>
        <v>0</v>
      </c>
      <c r="AK40" s="1">
        <f t="shared" si="8"/>
        <v>0</v>
      </c>
      <c r="AL40" s="14">
        <f t="shared" si="9"/>
        <v>0</v>
      </c>
      <c r="AM40" s="14">
        <f t="shared" si="10"/>
        <v>0</v>
      </c>
      <c r="AN40" s="1">
        <f>IF(AW40=1,IFERROR(IF(N40&gt;0,N40,IF(M40&gt;0,1,0))/통합_입력!$T$2*통합_입력!$L$2,0),0)</f>
        <v>0</v>
      </c>
      <c r="AO40" s="14">
        <f t="shared" si="11"/>
        <v>0</v>
      </c>
      <c r="AP40" s="12" t="str">
        <f t="shared" si="12"/>
        <v/>
      </c>
      <c r="AQ40" s="12" t="str">
        <f t="shared" si="13"/>
        <v/>
      </c>
      <c r="AR40" s="12" t="str">
        <f t="shared" si="14"/>
        <v/>
      </c>
      <c r="AS40" s="12" t="str">
        <f t="shared" si="15"/>
        <v/>
      </c>
      <c r="AT40" s="12" t="str">
        <f t="shared" si="16"/>
        <v/>
      </c>
      <c r="AU40" s="12" t="str">
        <f>IF(AW40=1,IFERROR((IF(I40&gt;0,I40,IF(H40&gt;0,1,0))/통합_입력!$L$2)/(IF(N40&gt;0,N40,IF(M40&gt;0,1,0))/통합_입력!$T$2),0),"")</f>
        <v/>
      </c>
      <c r="AV40" s="1">
        <f>통합_입력!I41</f>
        <v>0</v>
      </c>
      <c r="AW40" s="1">
        <f t="shared" si="17"/>
        <v>0</v>
      </c>
      <c r="AX40" s="1" t="str">
        <f t="shared" si="18"/>
        <v>실전 미사용/피해 없음</v>
      </c>
    </row>
    <row r="41" spans="1:50" ht="28.5">
      <c r="A41" s="2">
        <f>통합_입력!A42</f>
        <v>0</v>
      </c>
      <c r="B41" s="2">
        <f>통합_입력!B42</f>
        <v>0</v>
      </c>
      <c r="C41" s="18" t="str">
        <f>통합_입력!D42</f>
        <v/>
      </c>
      <c r="D41" s="18">
        <f>통합_입력!E42</f>
        <v>0</v>
      </c>
      <c r="E41" s="18" t="str">
        <f>통합_입력!F42</f>
        <v/>
      </c>
      <c r="F41" s="19" t="str">
        <f>통합_입력!G42</f>
        <v/>
      </c>
      <c r="G41" s="2" t="str">
        <f>통합_입력!H42</f>
        <v/>
      </c>
      <c r="H41" s="20">
        <f>통합_입력!K42</f>
        <v>0</v>
      </c>
      <c r="I41" s="2">
        <f>통합_입력!M42</f>
        <v>0</v>
      </c>
      <c r="J41" s="19">
        <f>통합_입력!N42</f>
        <v>0</v>
      </c>
      <c r="K41" s="19">
        <f>통합_입력!O42</f>
        <v>0</v>
      </c>
      <c r="L41" s="19">
        <f>통합_입력!P42</f>
        <v>0</v>
      </c>
      <c r="M41" s="20">
        <f>통합_입력!S42</f>
        <v>0</v>
      </c>
      <c r="N41" s="2">
        <f>통합_입력!U42</f>
        <v>0</v>
      </c>
      <c r="O41" s="19">
        <f>통합_입력!V42</f>
        <v>0</v>
      </c>
      <c r="P41" s="19">
        <f>통합_입력!W42</f>
        <v>0</v>
      </c>
      <c r="Q41" s="19">
        <f t="shared" si="0"/>
        <v>1</v>
      </c>
      <c r="R41" s="19">
        <f>IF(A41="","",MIN(1,설정!$B$8+IF(B41="백어택",설정!$B$5*L41,IF(B41="헤드어택",설정!$B$7*L41,0))))</f>
        <v>0.9</v>
      </c>
      <c r="S41" s="19">
        <f>IF(A41="","",MIN(1,설정!$B$8+IF(B41="백어택",설정!$B$5,IF(B41="헤드어택",설정!$B$7,0))))</f>
        <v>0.9</v>
      </c>
      <c r="T41" s="19">
        <f>IF(A41="","",IF(G41="뭉툭한가시",설정!$B$13,R41))</f>
        <v>0.9</v>
      </c>
      <c r="U41" s="19">
        <f>IF(A41="","",IF(G41="뭉툭한가시",설정!$B$13,S41))</f>
        <v>0.9</v>
      </c>
      <c r="V41" s="19">
        <f>IF(A41="","",IF(G41="뭉툭한가시",MAX(0,MIN(설정!$B$14,(R41-설정!$B$16)/(설정!$B$15-설정!$B$16)*설정!$B$14)),설정!$B$12))</f>
        <v>0.24</v>
      </c>
      <c r="W41" s="19">
        <f>IF(A41="","",IF(G41="뭉툭한가시",MAX(0,MIN(설정!$B$14,(S41-설정!$B$16)/(설정!$B$15-설정!$B$16)*설정!$B$14)),설정!$B$12))</f>
        <v>0.24</v>
      </c>
      <c r="X41" s="2" t="e">
        <f t="shared" si="1"/>
        <v>#VALUE!</v>
      </c>
      <c r="Y41" s="2" t="e">
        <f t="shared" si="2"/>
        <v>#VALUE!</v>
      </c>
      <c r="Z41" s="2">
        <f>IF(A41="","",1+IF(B41="백어택",설정!$B$4*L41,IF(B41="헤드어택",설정!$B$6*L41,0)))</f>
        <v>1</v>
      </c>
      <c r="AA41" s="1">
        <f>IF(A41="","",1+IF(B41="백어택",설정!$B$4,IF(B41="헤드어택",설정!$B$6,0)))</f>
        <v>1</v>
      </c>
      <c r="AB41" s="1" t="e">
        <f t="shared" si="3"/>
        <v>#VALUE!</v>
      </c>
      <c r="AC41" s="1" t="e">
        <f t="shared" si="4"/>
        <v>#VALUE!</v>
      </c>
      <c r="AD41" s="1" t="e">
        <f t="shared" si="5"/>
        <v>#VALUE!</v>
      </c>
      <c r="AE41" s="1" t="e">
        <f t="shared" si="6"/>
        <v>#VALUE!</v>
      </c>
      <c r="AF41" s="13"/>
      <c r="AG41" s="13"/>
      <c r="AH41" s="13"/>
      <c r="AI41" s="13"/>
      <c r="AJ41" s="1">
        <f t="shared" si="7"/>
        <v>0</v>
      </c>
      <c r="AK41" s="1">
        <f t="shared" si="8"/>
        <v>0</v>
      </c>
      <c r="AL41" s="14">
        <f t="shared" si="9"/>
        <v>0</v>
      </c>
      <c r="AM41" s="14">
        <f t="shared" si="10"/>
        <v>0</v>
      </c>
      <c r="AN41" s="1">
        <f>IF(AW41=1,IFERROR(IF(N41&gt;0,N41,IF(M41&gt;0,1,0))/통합_입력!$T$2*통합_입력!$L$2,0),0)</f>
        <v>0</v>
      </c>
      <c r="AO41" s="14">
        <f t="shared" si="11"/>
        <v>0</v>
      </c>
      <c r="AP41" s="12" t="str">
        <f t="shared" si="12"/>
        <v/>
      </c>
      <c r="AQ41" s="12" t="str">
        <f t="shared" si="13"/>
        <v/>
      </c>
      <c r="AR41" s="12" t="str">
        <f t="shared" si="14"/>
        <v/>
      </c>
      <c r="AS41" s="12" t="str">
        <f t="shared" si="15"/>
        <v/>
      </c>
      <c r="AT41" s="12" t="str">
        <f t="shared" si="16"/>
        <v/>
      </c>
      <c r="AU41" s="12" t="str">
        <f>IF(AW41=1,IFERROR((IF(I41&gt;0,I41,IF(H41&gt;0,1,0))/통합_입력!$L$2)/(IF(N41&gt;0,N41,IF(M41&gt;0,1,0))/통합_입력!$T$2),0),"")</f>
        <v/>
      </c>
      <c r="AV41" s="1">
        <f>통합_입력!I42</f>
        <v>0</v>
      </c>
      <c r="AW41" s="1">
        <f t="shared" si="17"/>
        <v>0</v>
      </c>
      <c r="AX41" s="1" t="str">
        <f t="shared" si="18"/>
        <v>실전 미사용/피해 없음</v>
      </c>
    </row>
    <row r="42" spans="1:50" ht="28.5">
      <c r="A42" s="2">
        <f>통합_입력!A43</f>
        <v>0</v>
      </c>
      <c r="B42" s="2">
        <f>통합_입력!B43</f>
        <v>0</v>
      </c>
      <c r="C42" s="18" t="str">
        <f>통합_입력!D43</f>
        <v/>
      </c>
      <c r="D42" s="18">
        <f>통합_입력!E43</f>
        <v>0</v>
      </c>
      <c r="E42" s="18" t="str">
        <f>통합_입력!F43</f>
        <v/>
      </c>
      <c r="F42" s="19" t="str">
        <f>통합_입력!G43</f>
        <v/>
      </c>
      <c r="G42" s="2" t="str">
        <f>통합_입력!H43</f>
        <v/>
      </c>
      <c r="H42" s="20">
        <f>통합_입력!K43</f>
        <v>0</v>
      </c>
      <c r="I42" s="2">
        <f>통합_입력!M43</f>
        <v>0</v>
      </c>
      <c r="J42" s="19">
        <f>통합_입력!N43</f>
        <v>0</v>
      </c>
      <c r="K42" s="19">
        <f>통합_입력!O43</f>
        <v>0</v>
      </c>
      <c r="L42" s="19">
        <f>통합_입력!P43</f>
        <v>0</v>
      </c>
      <c r="M42" s="20">
        <f>통합_입력!S43</f>
        <v>0</v>
      </c>
      <c r="N42" s="2">
        <f>통합_입력!U43</f>
        <v>0</v>
      </c>
      <c r="O42" s="19">
        <f>통합_입력!V43</f>
        <v>0</v>
      </c>
      <c r="P42" s="19">
        <f>통합_입력!W43</f>
        <v>0</v>
      </c>
      <c r="Q42" s="19">
        <f t="shared" si="0"/>
        <v>1</v>
      </c>
      <c r="R42" s="19">
        <f>IF(A42="","",MIN(1,설정!$B$8+IF(B42="백어택",설정!$B$5*L42,IF(B42="헤드어택",설정!$B$7*L42,0))))</f>
        <v>0.9</v>
      </c>
      <c r="S42" s="19">
        <f>IF(A42="","",MIN(1,설정!$B$8+IF(B42="백어택",설정!$B$5,IF(B42="헤드어택",설정!$B$7,0))))</f>
        <v>0.9</v>
      </c>
      <c r="T42" s="19">
        <f>IF(A42="","",IF(G42="뭉툭한가시",설정!$B$13,R42))</f>
        <v>0.9</v>
      </c>
      <c r="U42" s="19">
        <f>IF(A42="","",IF(G42="뭉툭한가시",설정!$B$13,S42))</f>
        <v>0.9</v>
      </c>
      <c r="V42" s="19">
        <f>IF(A42="","",IF(G42="뭉툭한가시",MAX(0,MIN(설정!$B$14,(R42-설정!$B$16)/(설정!$B$15-설정!$B$16)*설정!$B$14)),설정!$B$12))</f>
        <v>0.24</v>
      </c>
      <c r="W42" s="19">
        <f>IF(A42="","",IF(G42="뭉툭한가시",MAX(0,MIN(설정!$B$14,(S42-설정!$B$16)/(설정!$B$15-설정!$B$16)*설정!$B$14)),설정!$B$12))</f>
        <v>0.24</v>
      </c>
      <c r="X42" s="2" t="e">
        <f t="shared" si="1"/>
        <v>#VALUE!</v>
      </c>
      <c r="Y42" s="2" t="e">
        <f t="shared" si="2"/>
        <v>#VALUE!</v>
      </c>
      <c r="Z42" s="2">
        <f>IF(A42="","",1+IF(B42="백어택",설정!$B$4*L42,IF(B42="헤드어택",설정!$B$6*L42,0)))</f>
        <v>1</v>
      </c>
      <c r="AA42" s="1">
        <f>IF(A42="","",1+IF(B42="백어택",설정!$B$4,IF(B42="헤드어택",설정!$B$6,0)))</f>
        <v>1</v>
      </c>
      <c r="AB42" s="1" t="e">
        <f t="shared" si="3"/>
        <v>#VALUE!</v>
      </c>
      <c r="AC42" s="1" t="e">
        <f t="shared" si="4"/>
        <v>#VALUE!</v>
      </c>
      <c r="AD42" s="1" t="e">
        <f t="shared" si="5"/>
        <v>#VALUE!</v>
      </c>
      <c r="AE42" s="1" t="e">
        <f t="shared" si="6"/>
        <v>#VALUE!</v>
      </c>
      <c r="AF42" s="13"/>
      <c r="AG42" s="13"/>
      <c r="AH42" s="13"/>
      <c r="AI42" s="13"/>
      <c r="AJ42" s="1">
        <f t="shared" si="7"/>
        <v>0</v>
      </c>
      <c r="AK42" s="1">
        <f t="shared" si="8"/>
        <v>0</v>
      </c>
      <c r="AL42" s="14">
        <f t="shared" si="9"/>
        <v>0</v>
      </c>
      <c r="AM42" s="14">
        <f t="shared" si="10"/>
        <v>0</v>
      </c>
      <c r="AN42" s="1">
        <f>IF(AW42=1,IFERROR(IF(N42&gt;0,N42,IF(M42&gt;0,1,0))/통합_입력!$T$2*통합_입력!$L$2,0),0)</f>
        <v>0</v>
      </c>
      <c r="AO42" s="14">
        <f t="shared" si="11"/>
        <v>0</v>
      </c>
      <c r="AP42" s="12" t="str">
        <f t="shared" si="12"/>
        <v/>
      </c>
      <c r="AQ42" s="12" t="str">
        <f t="shared" si="13"/>
        <v/>
      </c>
      <c r="AR42" s="12" t="str">
        <f t="shared" si="14"/>
        <v/>
      </c>
      <c r="AS42" s="12" t="str">
        <f t="shared" si="15"/>
        <v/>
      </c>
      <c r="AT42" s="12" t="str">
        <f t="shared" si="16"/>
        <v/>
      </c>
      <c r="AU42" s="12" t="str">
        <f>IF(AW42=1,IFERROR((IF(I42&gt;0,I42,IF(H42&gt;0,1,0))/통합_입력!$L$2)/(IF(N42&gt;0,N42,IF(M42&gt;0,1,0))/통합_입력!$T$2),0),"")</f>
        <v/>
      </c>
      <c r="AV42" s="1">
        <f>통합_입력!I43</f>
        <v>0</v>
      </c>
      <c r="AW42" s="1">
        <f t="shared" si="17"/>
        <v>0</v>
      </c>
      <c r="AX42" s="1" t="str">
        <f t="shared" si="18"/>
        <v>실전 미사용/피해 없음</v>
      </c>
    </row>
    <row r="43" spans="1:50" ht="28.5">
      <c r="A43" s="2">
        <f>통합_입력!A44</f>
        <v>0</v>
      </c>
      <c r="B43" s="2">
        <f>통합_입력!B44</f>
        <v>0</v>
      </c>
      <c r="C43" s="18" t="str">
        <f>통합_입력!D44</f>
        <v/>
      </c>
      <c r="D43" s="18">
        <f>통합_입력!E44</f>
        <v>0</v>
      </c>
      <c r="E43" s="18" t="str">
        <f>통합_입력!F44</f>
        <v/>
      </c>
      <c r="F43" s="19" t="str">
        <f>통합_입력!G44</f>
        <v/>
      </c>
      <c r="G43" s="2" t="str">
        <f>통합_입력!H44</f>
        <v/>
      </c>
      <c r="H43" s="20">
        <f>통합_입력!K44</f>
        <v>0</v>
      </c>
      <c r="I43" s="2">
        <f>통합_입력!M44</f>
        <v>0</v>
      </c>
      <c r="J43" s="19">
        <f>통합_입력!N44</f>
        <v>0</v>
      </c>
      <c r="K43" s="19">
        <f>통합_입력!O44</f>
        <v>0</v>
      </c>
      <c r="L43" s="19">
        <f>통합_입력!P44</f>
        <v>0</v>
      </c>
      <c r="M43" s="20">
        <f>통합_입력!S44</f>
        <v>0</v>
      </c>
      <c r="N43" s="2">
        <f>통합_입력!U44</f>
        <v>0</v>
      </c>
      <c r="O43" s="19">
        <f>통합_입력!V44</f>
        <v>0</v>
      </c>
      <c r="P43" s="19">
        <f>통합_입력!W44</f>
        <v>0</v>
      </c>
      <c r="Q43" s="19">
        <f t="shared" si="0"/>
        <v>1</v>
      </c>
      <c r="R43" s="19">
        <f>IF(A43="","",MIN(1,설정!$B$8+IF(B43="백어택",설정!$B$5*L43,IF(B43="헤드어택",설정!$B$7*L43,0))))</f>
        <v>0.9</v>
      </c>
      <c r="S43" s="19">
        <f>IF(A43="","",MIN(1,설정!$B$8+IF(B43="백어택",설정!$B$5,IF(B43="헤드어택",설정!$B$7,0))))</f>
        <v>0.9</v>
      </c>
      <c r="T43" s="19">
        <f>IF(A43="","",IF(G43="뭉툭한가시",설정!$B$13,R43))</f>
        <v>0.9</v>
      </c>
      <c r="U43" s="19">
        <f>IF(A43="","",IF(G43="뭉툭한가시",설정!$B$13,S43))</f>
        <v>0.9</v>
      </c>
      <c r="V43" s="19">
        <f>IF(A43="","",IF(G43="뭉툭한가시",MAX(0,MIN(설정!$B$14,(R43-설정!$B$16)/(설정!$B$15-설정!$B$16)*설정!$B$14)),설정!$B$12))</f>
        <v>0.24</v>
      </c>
      <c r="W43" s="19">
        <f>IF(A43="","",IF(G43="뭉툭한가시",MAX(0,MIN(설정!$B$14,(S43-설정!$B$16)/(설정!$B$15-설정!$B$16)*설정!$B$14)),설정!$B$12))</f>
        <v>0.24</v>
      </c>
      <c r="X43" s="2" t="e">
        <f t="shared" si="1"/>
        <v>#VALUE!</v>
      </c>
      <c r="Y43" s="2" t="e">
        <f t="shared" si="2"/>
        <v>#VALUE!</v>
      </c>
      <c r="Z43" s="2">
        <f>IF(A43="","",1+IF(B43="백어택",설정!$B$4*L43,IF(B43="헤드어택",설정!$B$6*L43,0)))</f>
        <v>1</v>
      </c>
      <c r="AA43" s="1">
        <f>IF(A43="","",1+IF(B43="백어택",설정!$B$4,IF(B43="헤드어택",설정!$B$6,0)))</f>
        <v>1</v>
      </c>
      <c r="AB43" s="1" t="e">
        <f t="shared" si="3"/>
        <v>#VALUE!</v>
      </c>
      <c r="AC43" s="1" t="e">
        <f t="shared" si="4"/>
        <v>#VALUE!</v>
      </c>
      <c r="AD43" s="1" t="e">
        <f t="shared" si="5"/>
        <v>#VALUE!</v>
      </c>
      <c r="AE43" s="1" t="e">
        <f t="shared" si="6"/>
        <v>#VALUE!</v>
      </c>
      <c r="AF43" s="13"/>
      <c r="AG43" s="13"/>
      <c r="AH43" s="13"/>
      <c r="AI43" s="13"/>
      <c r="AJ43" s="1">
        <f t="shared" si="7"/>
        <v>0</v>
      </c>
      <c r="AK43" s="1">
        <f t="shared" si="8"/>
        <v>0</v>
      </c>
      <c r="AL43" s="14">
        <f t="shared" si="9"/>
        <v>0</v>
      </c>
      <c r="AM43" s="14">
        <f t="shared" si="10"/>
        <v>0</v>
      </c>
      <c r="AN43" s="1">
        <f>IF(AW43=1,IFERROR(IF(N43&gt;0,N43,IF(M43&gt;0,1,0))/통합_입력!$T$2*통합_입력!$L$2,0),0)</f>
        <v>0</v>
      </c>
      <c r="AO43" s="14">
        <f t="shared" si="11"/>
        <v>0</v>
      </c>
      <c r="AP43" s="12" t="str">
        <f t="shared" si="12"/>
        <v/>
      </c>
      <c r="AQ43" s="12" t="str">
        <f t="shared" si="13"/>
        <v/>
      </c>
      <c r="AR43" s="12" t="str">
        <f t="shared" si="14"/>
        <v/>
      </c>
      <c r="AS43" s="12" t="str">
        <f t="shared" si="15"/>
        <v/>
      </c>
      <c r="AT43" s="12" t="str">
        <f t="shared" si="16"/>
        <v/>
      </c>
      <c r="AU43" s="12" t="str">
        <f>IF(AW43=1,IFERROR((IF(I43&gt;0,I43,IF(H43&gt;0,1,0))/통합_입력!$L$2)/(IF(N43&gt;0,N43,IF(M43&gt;0,1,0))/통합_입력!$T$2),0),"")</f>
        <v/>
      </c>
      <c r="AV43" s="1">
        <f>통합_입력!I44</f>
        <v>0</v>
      </c>
      <c r="AW43" s="1">
        <f t="shared" si="17"/>
        <v>0</v>
      </c>
      <c r="AX43" s="1" t="str">
        <f t="shared" si="18"/>
        <v>실전 미사용/피해 없음</v>
      </c>
    </row>
    <row r="44" spans="1:5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50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50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50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50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</sheetData>
  <mergeCells count="2">
    <mergeCell ref="A1:AX1"/>
    <mergeCell ref="A2:AX2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00"/>
  <sheetViews>
    <sheetView workbookViewId="0">
      <selection activeCell="K27" sqref="K27"/>
    </sheetView>
  </sheetViews>
  <sheetFormatPr defaultRowHeight="14.25"/>
  <cols>
    <col min="1" max="1" width="52" customWidth="1"/>
    <col min="2" max="2" width="18.75" customWidth="1"/>
    <col min="3" max="3" width="10.375" customWidth="1"/>
    <col min="4" max="4" width="10.125" customWidth="1"/>
    <col min="5" max="5" width="8.25" customWidth="1"/>
    <col min="6" max="6" width="10.375" customWidth="1"/>
    <col min="7" max="7" width="10.125" customWidth="1"/>
    <col min="8" max="8" width="4.25" customWidth="1"/>
    <col min="9" max="9" width="6" customWidth="1"/>
    <col min="11" max="11" width="12.625" customWidth="1"/>
    <col min="12" max="12" width="8.625" customWidth="1"/>
  </cols>
  <sheetData>
    <row r="1" spans="1:26" ht="18.75">
      <c r="A1" s="54" t="s">
        <v>162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30">
      <c r="A3" s="15" t="s">
        <v>163</v>
      </c>
      <c r="B3" s="15" t="s">
        <v>24</v>
      </c>
      <c r="C3" s="15"/>
      <c r="D3" s="15" t="s">
        <v>164</v>
      </c>
      <c r="E3" s="15">
        <f>IFERROR(MATCH($B$3,계산표!$A$4:$A$43,0)+3,"")</f>
        <v>4</v>
      </c>
      <c r="F3" s="15"/>
      <c r="G3" s="15"/>
      <c r="H3" s="15"/>
      <c r="I3" s="15"/>
      <c r="J3" s="15"/>
      <c r="K3" s="3" t="s">
        <v>165</v>
      </c>
      <c r="L3" s="3" t="s">
        <v>49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>
      <c r="A4" s="15"/>
      <c r="B4" s="15"/>
      <c r="C4" s="15"/>
      <c r="D4" s="15"/>
      <c r="E4" s="15"/>
      <c r="F4" s="15"/>
      <c r="G4" s="15"/>
      <c r="H4" s="15"/>
      <c r="I4" s="15"/>
      <c r="J4" s="15"/>
      <c r="K4" s="15" t="s">
        <v>131</v>
      </c>
      <c r="L4" s="21">
        <f>IF($E$3="","",INDEX(계산표!$T:$T,$E$3))</f>
        <v>0.97667000000000004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30">
      <c r="A5" s="3" t="s">
        <v>166</v>
      </c>
      <c r="B5" s="3" t="s">
        <v>167</v>
      </c>
      <c r="C5" s="3" t="s">
        <v>168</v>
      </c>
      <c r="D5" s="3" t="s">
        <v>169</v>
      </c>
      <c r="E5" s="3" t="s">
        <v>170</v>
      </c>
      <c r="F5" s="3" t="s">
        <v>171</v>
      </c>
      <c r="G5" s="3" t="s">
        <v>172</v>
      </c>
      <c r="H5" s="3" t="s">
        <v>173</v>
      </c>
      <c r="I5" s="3" t="s">
        <v>164</v>
      </c>
      <c r="J5" s="15"/>
      <c r="K5" s="15" t="s">
        <v>174</v>
      </c>
      <c r="L5" s="21">
        <f>IF($E$3="","",INDEX(계산표!$K:$K,$E$3))</f>
        <v>0.98019999999999996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>
      <c r="A6" s="15">
        <v>0</v>
      </c>
      <c r="B6" s="21">
        <f>IF($E$3="","",IF(A6&lt;=ROUND(INDEX(계산표!$I:$I,$E$3),0),IF(ROUND(INDEX(계산표!$I:$I,$E$3),0)&lt;=0,IF(A6=0,1,""),IF(INDEX(계산표!$T:$T,$E$3)&gt;=1,IF(A6=ROUND(INDEX(계산표!$I:$I,$E$3),0),1,0),IF(INDEX(계산표!$T:$T,$E$3)&lt;=0,IF(A6=0,1,0),_xlfn.BINOM.DIST(A6,ROUND(INDEX(계산표!$I:$I,$E$3),0),INDEX(계산표!$T:$T,$E$3),FALSE)))),""))</f>
        <v>1.7576427073930834E-59</v>
      </c>
      <c r="C6" s="22">
        <f>IF(B6="","",INDEX(계산표!$AJ:$AJ,$E$3)*((ROUND(INDEX(계산표!$I:$I,$E$3),0)-A6)+A6*INDEX(계산표!$E:$E,$E$3))*INDEX(계산표!$X:$X,$E$3)*INDEX(계산표!$Z:$Z,$E$3)*설정!$B$25)</f>
        <v>29.064376203852973</v>
      </c>
      <c r="D6" s="22">
        <f t="shared" ref="D6:D37" si="0">IF(OR(B6="",C6=""),"",B6*C6)</f>
        <v>5.1084788879631244E-58</v>
      </c>
      <c r="E6" s="21">
        <f>IF($E$3="","",IF(A6&lt;=ROUND(INDEX(계산표!$N:$N,$E$3),0),IF(ROUND(INDEX(계산표!$N:$N,$E$3),0)&lt;=0,IF(A6=0,1,""),IF(INDEX(계산표!$U:$U,$E$3)&gt;=1,IF(A6=ROUND(INDEX(계산표!$N:$N,$E$3),0),1,0),IF(INDEX(계산표!$U:$U,$E$3)&lt;=0,IF(A6=0,1,0),_xludf.BINOM.DIST(A6,ROUND(INDEX(계산표!$N:$N,$E$3),0),INDEX(계산표!$U:$U,$E$3),FALSE)))),""))</f>
        <v>0</v>
      </c>
      <c r="F6" s="22">
        <f>IF(E6="","",INDEX(계산표!$AK:$AK,$E$3)*((ROUND(INDEX(계산표!$N:$N,$E$3),0)-A6)+A6*INDEX(계산표!$E:$E,$E$3))*INDEX(계산표!$Y:$Y,$E$3)*INDEX(계산표!$AA:$AA,$E$3)*설정!$B$25)</f>
        <v>6.8189115261271462</v>
      </c>
      <c r="G6" s="22">
        <f t="shared" ref="G6:G37" si="1">IF(OR(E6="",F6=""),"",E6*F6)</f>
        <v>0</v>
      </c>
      <c r="H6" s="15"/>
      <c r="I6" s="15"/>
      <c r="J6" s="15"/>
      <c r="K6" s="15" t="s">
        <v>153</v>
      </c>
      <c r="L6" s="21">
        <f>IF($E$3="","",INDEX(계산표!$AP:$AP,$E$3))</f>
        <v>1.0035782617347087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>
      <c r="A7" s="15">
        <v>1</v>
      </c>
      <c r="B7" s="21">
        <f>IF($E$3="","",IF(A7&lt;=ROUND(INDEX(계산표!$I:$I,$E$3),0),IF(ROUND(INDEX(계산표!$I:$I,$E$3),0)&lt;=0,IF(A7=0,1,""),IF(INDEX(계산표!$T:$T,$E$3)&gt;=1,IF(A7=ROUND(INDEX(계산표!$I:$I,$E$3),0),1,0),IF(INDEX(계산표!$T:$T,$E$3)&lt;=0,IF(A7=0,1,0),_xlfn.BINOM.DIST(A7,ROUND(INDEX(계산표!$I:$I,$E$3),0),INDEX(계산표!$T:$T,$E$3),FALSE)))),""))</f>
        <v>2.6489039223774235E-56</v>
      </c>
      <c r="C7" s="22">
        <f>IF(B7="","",INDEX(계산표!$AJ:$AJ,$E$3)*((ROUND(INDEX(계산표!$I:$I,$E$3),0)-A7)+A7*INDEX(계산표!$E:$E,$E$3))*INDEX(계산표!$X:$X,$E$3)*INDEX(계산표!$Z:$Z,$E$3)*설정!$B$25)</f>
        <v>31.163470040797918</v>
      </c>
      <c r="D7" s="22">
        <f t="shared" si="0"/>
        <v>8.2549038025960933E-55</v>
      </c>
      <c r="E7" s="21">
        <f>IF($E$3="","",IF(A7&lt;=ROUND(INDEX(계산표!$N:$N,$E$3),0),IF(ROUND(INDEX(계산표!$N:$N,$E$3),0)&lt;=0,IF(A7=0,1,""),IF(INDEX(계산표!$U:$U,$E$3)&gt;=1,IF(A7=ROUND(INDEX(계산표!$N:$N,$E$3),0),1,0),IF(INDEX(계산표!$U:$U,$E$3)&lt;=0,IF(A7=0,1,0),_xludf.BINOM.DIST(A7,ROUND(INDEX(계산표!$N:$N,$E$3),0),INDEX(계산표!$U:$U,$E$3),FALSE)))),""))</f>
        <v>0</v>
      </c>
      <c r="F7" s="22">
        <f>IF(E7="","",INDEX(계산표!$AK:$AK,$E$3)*((ROUND(INDEX(계산표!$N:$N,$E$3),0)-A7)+A7*INDEX(계산표!$E:$E,$E$3))*INDEX(계산표!$Y:$Y,$E$3)*INDEX(계산표!$AA:$AA,$E$3)*설정!$B$25)</f>
        <v>7.5280783248443699</v>
      </c>
      <c r="G7" s="22">
        <f t="shared" si="1"/>
        <v>0</v>
      </c>
      <c r="H7" s="15"/>
      <c r="I7" s="15"/>
      <c r="J7" s="15"/>
      <c r="K7" s="15" t="s">
        <v>132</v>
      </c>
      <c r="L7" s="21">
        <f>IF($E$3="","",INDEX(계산표!$U:$U,$E$3))</f>
        <v>1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>
      <c r="A8" s="15">
        <v>2</v>
      </c>
      <c r="B8" s="21">
        <f>IF($E$3="","",IF(A8&lt;=ROUND(INDEX(계산표!$I:$I,$E$3),0),IF(ROUND(INDEX(계산표!$I:$I,$E$3),0)&lt;=0,IF(A8=0,1,""),IF(INDEX(계산표!$T:$T,$E$3)&gt;=1,IF(A8=ROUND(INDEX(계산표!$I:$I,$E$3),0),1,0),IF(INDEX(계산표!$T:$T,$E$3)&lt;=0,IF(A8=0,1,0),_xlfn.BINOM.DIST(A8,ROUND(INDEX(계산표!$I:$I,$E$3),0),INDEX(계산표!$T:$T,$E$3),FALSE)))),""))</f>
        <v>1.9406059748262458E-53</v>
      </c>
      <c r="C8" s="22">
        <f>IF(B8="","",INDEX(계산표!$AJ:$AJ,$E$3)*((ROUND(INDEX(계산표!$I:$I,$E$3),0)-A8)+A8*INDEX(계산표!$E:$E,$E$3))*INDEX(계산표!$X:$X,$E$3)*INDEX(계산표!$Z:$Z,$E$3)*설정!$B$25)</f>
        <v>33.262563877742849</v>
      </c>
      <c r="D8" s="22">
        <f t="shared" si="0"/>
        <v>6.4549530199187433E-52</v>
      </c>
      <c r="E8" s="21">
        <f>IF($E$3="","",IF(A8&lt;=ROUND(INDEX(계산표!$N:$N,$E$3),0),IF(ROUND(INDEX(계산표!$N:$N,$E$3),0)&lt;=0,IF(A8=0,1,""),IF(INDEX(계산표!$U:$U,$E$3)&gt;=1,IF(A8=ROUND(INDEX(계산표!$N:$N,$E$3),0),1,0),IF(INDEX(계산표!$U:$U,$E$3)&lt;=0,IF(A8=0,1,0),_xludf.BINOM.DIST(A8,ROUND(INDEX(계산표!$N:$N,$E$3),0),INDEX(계산표!$U:$U,$E$3),FALSE)))),""))</f>
        <v>0</v>
      </c>
      <c r="F8" s="22">
        <f>IF(E8="","",INDEX(계산표!$AK:$AK,$E$3)*((ROUND(INDEX(계산표!$N:$N,$E$3),0)-A8)+A8*INDEX(계산표!$E:$E,$E$3))*INDEX(계산표!$Y:$Y,$E$3)*INDEX(계산표!$AA:$AA,$E$3)*설정!$B$25)</f>
        <v>8.2372451235615927</v>
      </c>
      <c r="G8" s="22">
        <f t="shared" si="1"/>
        <v>0</v>
      </c>
      <c r="H8" s="15"/>
      <c r="I8" s="15"/>
      <c r="J8" s="15"/>
      <c r="K8" s="15" t="s">
        <v>175</v>
      </c>
      <c r="L8" s="21">
        <f>IF($E$3="","",INDEX(계산표!$P:$P,$E$3))</f>
        <v>1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>
      <c r="A9" s="15">
        <v>3</v>
      </c>
      <c r="B9" s="21">
        <f>IF($E$3="","",IF(A9&lt;=ROUND(INDEX(계산표!$I:$I,$E$3),0),IF(ROUND(INDEX(계산표!$I:$I,$E$3),0)&lt;=0,IF(A9=0,1,""),IF(INDEX(계산표!$T:$T,$E$3)&gt;=1,IF(A9=ROUND(INDEX(계산표!$I:$I,$E$3),0),1,0),IF(INDEX(계산표!$T:$T,$E$3)&lt;=0,IF(A9=0,1,0),_xlfn.BINOM.DIST(A9,ROUND(INDEX(계산표!$I:$I,$E$3),0),INDEX(계산표!$T:$T,$E$3),FALSE)))),""))</f>
        <v>9.2072118406544741E-51</v>
      </c>
      <c r="C9" s="22">
        <f>IF(B9="","",INDEX(계산표!$AJ:$AJ,$E$3)*((ROUND(INDEX(계산표!$I:$I,$E$3),0)-A9)+A9*INDEX(계산표!$E:$E,$E$3))*INDEX(계산표!$X:$X,$E$3)*INDEX(계산표!$Z:$Z,$E$3)*설정!$B$25)</f>
        <v>35.361657714687787</v>
      </c>
      <c r="D9" s="22">
        <f t="shared" si="0"/>
        <v>3.2558227361584401E-49</v>
      </c>
      <c r="E9" s="21">
        <f>IF($E$3="","",IF(A9&lt;=ROUND(INDEX(계산표!$N:$N,$E$3),0),IF(ROUND(INDEX(계산표!$N:$N,$E$3),0)&lt;=0,IF(A9=0,1,""),IF(INDEX(계산표!$U:$U,$E$3)&gt;=1,IF(A9=ROUND(INDEX(계산표!$N:$N,$E$3),0),1,0),IF(INDEX(계산표!$U:$U,$E$3)&lt;=0,IF(A9=0,1,0),_xludf.BINOM.DIST(A9,ROUND(INDEX(계산표!$N:$N,$E$3),0),INDEX(계산표!$U:$U,$E$3),FALSE)))),""))</f>
        <v>0</v>
      </c>
      <c r="F9" s="22">
        <f>IF(E9="","",INDEX(계산표!$AK:$AK,$E$3)*((ROUND(INDEX(계산표!$N:$N,$E$3),0)-A9)+A9*INDEX(계산표!$E:$E,$E$3))*INDEX(계산표!$Y:$Y,$E$3)*INDEX(계산표!$AA:$AA,$E$3)*설정!$B$25)</f>
        <v>8.9464119222788163</v>
      </c>
      <c r="G9" s="22">
        <f t="shared" si="1"/>
        <v>0</v>
      </c>
      <c r="H9" s="15"/>
      <c r="I9" s="15"/>
      <c r="J9" s="15"/>
      <c r="K9" s="15" t="s">
        <v>154</v>
      </c>
      <c r="L9" s="21">
        <f>IF($E$3="","",INDEX(계산표!$AQ:$AQ,$E$3))</f>
        <v>1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>
      <c r="A10" s="15">
        <v>4</v>
      </c>
      <c r="B10" s="21">
        <f>IF($E$3="","",IF(A10&lt;=ROUND(INDEX(계산표!$I:$I,$E$3),0),IF(ROUND(INDEX(계산표!$I:$I,$E$3),0)&lt;=0,IF(A10=0,1,""),IF(INDEX(계산표!$T:$T,$E$3)&gt;=1,IF(A10=ROUND(INDEX(계산표!$I:$I,$E$3),0),1,0),IF(INDEX(계산표!$T:$T,$E$3)&lt;=0,IF(A10=0,1,0),_xlfn.BINOM.DIST(A10,ROUND(INDEX(계산표!$I:$I,$E$3),0),INDEX(계산표!$T:$T,$E$3),FALSE)))),""))</f>
        <v>3.1799126705700894E-48</v>
      </c>
      <c r="C10" s="22">
        <f>IF(B10="","",INDEX(계산표!$AJ:$AJ,$E$3)*((ROUND(INDEX(계산표!$I:$I,$E$3),0)-A10)+A10*INDEX(계산표!$E:$E,$E$3))*INDEX(계산표!$X:$X,$E$3)*INDEX(계산표!$Z:$Z,$E$3)*설정!$B$25)</f>
        <v>37.460751551632725</v>
      </c>
      <c r="D10" s="22">
        <f t="shared" si="0"/>
        <v>1.1912191850811503E-46</v>
      </c>
      <c r="E10" s="21">
        <f>IF($E$3="","",IF(A10&lt;=ROUND(INDEX(계산표!$N:$N,$E$3),0),IF(ROUND(INDEX(계산표!$N:$N,$E$3),0)&lt;=0,IF(A10=0,1,""),IF(INDEX(계산표!$U:$U,$E$3)&gt;=1,IF(A10=ROUND(INDEX(계산표!$N:$N,$E$3),0),1,0),IF(INDEX(계산표!$U:$U,$E$3)&lt;=0,IF(A10=0,1,0),_xludf.BINOM.DIST(A10,ROUND(INDEX(계산표!$N:$N,$E$3),0),INDEX(계산표!$U:$U,$E$3),FALSE)))),""))</f>
        <v>0</v>
      </c>
      <c r="F10" s="22">
        <f>IF(E10="","",INDEX(계산표!$AK:$AK,$E$3)*((ROUND(INDEX(계산표!$N:$N,$E$3),0)-A10)+A10*INDEX(계산표!$E:$E,$E$3))*INDEX(계산표!$Y:$Y,$E$3)*INDEX(계산표!$AA:$AA,$E$3)*설정!$B$25)</f>
        <v>9.65557872099604</v>
      </c>
      <c r="G10" s="22">
        <f t="shared" si="1"/>
        <v>0</v>
      </c>
      <c r="H10" s="15"/>
      <c r="I10" s="15"/>
      <c r="J10" s="15"/>
      <c r="K10" s="15" t="s">
        <v>176</v>
      </c>
      <c r="L10" s="15" t="str">
        <f>IF($E$3="","",INDEX(계산표!$AX:$AX,$E$3))</f>
        <v>포함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>
      <c r="A11" s="15">
        <v>5</v>
      </c>
      <c r="B11" s="21">
        <f>IF($E$3="","",IF(A11&lt;=ROUND(INDEX(계산표!$I:$I,$E$3),0),IF(ROUND(INDEX(계산표!$I:$I,$E$3),0)&lt;=0,IF(A11=0,1,""),IF(INDEX(계산표!$T:$T,$E$3)&gt;=1,IF(A11=ROUND(INDEX(계산표!$I:$I,$E$3),0),1,0),IF(INDEX(계산표!$T:$T,$E$3)&lt;=0,IF(A11=0,1,0),_xlfn.BINOM.DIST(A11,ROUND(INDEX(계산표!$I:$I,$E$3),0),INDEX(계산표!$T:$T,$E$3),FALSE)))),""))</f>
        <v>8.519777955842472E-46</v>
      </c>
      <c r="C11" s="22">
        <f>IF(B11="","",INDEX(계산표!$AJ:$AJ,$E$3)*((ROUND(INDEX(계산표!$I:$I,$E$3),0)-A11)+A11*INDEX(계산표!$E:$E,$E$3))*INDEX(계산표!$X:$X,$E$3)*INDEX(계산표!$Z:$Z,$E$3)*설정!$B$25)</f>
        <v>39.559845388577656</v>
      </c>
      <c r="D11" s="22">
        <f t="shared" si="0"/>
        <v>3.3704109867814037E-44</v>
      </c>
      <c r="E11" s="21">
        <f>IF($E$3="","",IF(A11&lt;=ROUND(INDEX(계산표!$N:$N,$E$3),0),IF(ROUND(INDEX(계산표!$N:$N,$E$3),0)&lt;=0,IF(A11=0,1,""),IF(INDEX(계산표!$U:$U,$E$3)&gt;=1,IF(A11=ROUND(INDEX(계산표!$N:$N,$E$3),0),1,0),IF(INDEX(계산표!$U:$U,$E$3)&lt;=0,IF(A11=0,1,0),_xludf.BINOM.DIST(A11,ROUND(INDEX(계산표!$N:$N,$E$3),0),INDEX(계산표!$U:$U,$E$3),FALSE)))),""))</f>
        <v>0</v>
      </c>
      <c r="F11" s="22">
        <f>IF(E11="","",INDEX(계산표!$AK:$AK,$E$3)*((ROUND(INDEX(계산표!$N:$N,$E$3),0)-A11)+A11*INDEX(계산표!$E:$E,$E$3))*INDEX(계산표!$Y:$Y,$E$3)*INDEX(계산표!$AA:$AA,$E$3)*설정!$B$25)</f>
        <v>10.364745519713264</v>
      </c>
      <c r="G11" s="22">
        <f t="shared" si="1"/>
        <v>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>
      <c r="A12" s="15">
        <v>6</v>
      </c>
      <c r="B12" s="21">
        <f>IF($E$3="","",IF(A12&lt;=ROUND(INDEX(계산표!$I:$I,$E$3),0),IF(ROUND(INDEX(계산표!$I:$I,$E$3),0)&lt;=0,IF(A12=0,1,""),IF(INDEX(계산표!$T:$T,$E$3)&gt;=1,IF(A12=ROUND(INDEX(계산표!$I:$I,$E$3),0),1,0),IF(INDEX(계산표!$T:$T,$E$3)&lt;=0,IF(A12=0,1,0),_xlfn.BINOM.DIST(A12,ROUND(INDEX(계산표!$I:$I,$E$3),0),INDEX(계산표!$T:$T,$E$3),FALSE)))),""))</f>
        <v>1.842772950565162E-43</v>
      </c>
      <c r="C12" s="22">
        <f>IF(B12="","",INDEX(계산표!$AJ:$AJ,$E$3)*((ROUND(INDEX(계산표!$I:$I,$E$3),0)-A12)+A12*INDEX(계산표!$E:$E,$E$3))*INDEX(계산표!$X:$X,$E$3)*INDEX(계산표!$Z:$Z,$E$3)*설정!$B$25)</f>
        <v>41.658939225522602</v>
      </c>
      <c r="D12" s="22">
        <f t="shared" si="0"/>
        <v>7.6767966354031053E-42</v>
      </c>
      <c r="E12" s="21">
        <f>IF($E$3="","",IF(A12&lt;=ROUND(INDEX(계산표!$N:$N,$E$3),0),IF(ROUND(INDEX(계산표!$N:$N,$E$3),0)&lt;=0,IF(A12=0,1,""),IF(INDEX(계산표!$U:$U,$E$3)&gt;=1,IF(A12=ROUND(INDEX(계산표!$N:$N,$E$3),0),1,0),IF(INDEX(계산표!$U:$U,$E$3)&lt;=0,IF(A12=0,1,0),_xludf.BINOM.DIST(A12,ROUND(INDEX(계산표!$N:$N,$E$3),0),INDEX(계산표!$U:$U,$E$3),FALSE)))),""))</f>
        <v>0</v>
      </c>
      <c r="F12" s="22">
        <f>IF(E12="","",INDEX(계산표!$AK:$AK,$E$3)*((ROUND(INDEX(계산표!$N:$N,$E$3),0)-A12)+A12*INDEX(계산표!$E:$E,$E$3))*INDEX(계산표!$Y:$Y,$E$3)*INDEX(계산표!$AA:$AA,$E$3)*설정!$B$25)</f>
        <v>11.073912318430486</v>
      </c>
      <c r="G12" s="22">
        <f t="shared" si="1"/>
        <v>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>
      <c r="A13" s="15">
        <v>7</v>
      </c>
      <c r="B13" s="21">
        <f>IF($E$3="","",IF(A13&lt;=ROUND(INDEX(계산표!$I:$I,$E$3),0),IF(ROUND(INDEX(계산표!$I:$I,$E$3),0)&lt;=0,IF(A13=0,1,""),IF(INDEX(계산표!$T:$T,$E$3)&gt;=1,IF(A13=ROUND(INDEX(계산표!$I:$I,$E$3),0),1,0),IF(INDEX(계산표!$T:$T,$E$3)&lt;=0,IF(A13=0,1,0),_xlfn.BINOM.DIST(A13,ROUND(INDEX(계산표!$I:$I,$E$3),0),INDEX(계산표!$T:$T,$E$3),FALSE)))),""))</f>
        <v>3.3061926231617297E-41</v>
      </c>
      <c r="C13" s="22">
        <f>IF(B13="","",INDEX(계산표!$AJ:$AJ,$E$3)*((ROUND(INDEX(계산표!$I:$I,$E$3),0)-A13)+A13*INDEX(계산표!$E:$E,$E$3))*INDEX(계산표!$X:$X,$E$3)*INDEX(계산표!$Z:$Z,$E$3)*설정!$B$25)</f>
        <v>43.758033062467533</v>
      </c>
      <c r="D13" s="22">
        <f t="shared" si="0"/>
        <v>1.4467248611519723E-39</v>
      </c>
      <c r="E13" s="21">
        <f>IF($E$3="","",IF(A13&lt;=ROUND(INDEX(계산표!$N:$N,$E$3),0),IF(ROUND(INDEX(계산표!$N:$N,$E$3),0)&lt;=0,IF(A13=0,1,""),IF(INDEX(계산표!$U:$U,$E$3)&gt;=1,IF(A13=ROUND(INDEX(계산표!$N:$N,$E$3),0),1,0),IF(INDEX(계산표!$U:$U,$E$3)&lt;=0,IF(A13=0,1,0),_xludf.BINOM.DIST(A13,ROUND(INDEX(계산표!$N:$N,$E$3),0),INDEX(계산표!$U:$U,$E$3),FALSE)))),""))</f>
        <v>0</v>
      </c>
      <c r="F13" s="22">
        <f>IF(E13="","",INDEX(계산표!$AK:$AK,$E$3)*((ROUND(INDEX(계산표!$N:$N,$E$3),0)-A13)+A13*INDEX(계산표!$E:$E,$E$3))*INDEX(계산표!$Y:$Y,$E$3)*INDEX(계산표!$AA:$AA,$E$3)*설정!$B$25)</f>
        <v>11.783079117147709</v>
      </c>
      <c r="G13" s="22">
        <f t="shared" si="1"/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>
      <c r="A14" s="15">
        <v>8</v>
      </c>
      <c r="B14" s="21">
        <f>IF($E$3="","",IF(A14&lt;=ROUND(INDEX(계산표!$I:$I,$E$3),0),IF(ROUND(INDEX(계산표!$I:$I,$E$3),0)&lt;=0,IF(A14=0,1,""),IF(INDEX(계산표!$T:$T,$E$3)&gt;=1,IF(A14=ROUND(INDEX(계산표!$I:$I,$E$3),0),1,0),IF(INDEX(계산표!$T:$T,$E$3)&lt;=0,IF(A14=0,1,0),_xlfn.BINOM.DIST(A14,ROUND(INDEX(계산표!$I:$I,$E$3),0),INDEX(계산표!$T:$T,$E$3),FALSE)))),""))</f>
        <v>5.017290791290167E-39</v>
      </c>
      <c r="C14" s="22">
        <f>IF(B14="","",INDEX(계산표!$AJ:$AJ,$E$3)*((ROUND(INDEX(계산표!$I:$I,$E$3),0)-A14)+A14*INDEX(계산표!$E:$E,$E$3))*INDEX(계산표!$X:$X,$E$3)*INDEX(계산표!$Z:$Z,$E$3)*설정!$B$25)</f>
        <v>45.857126899412471</v>
      </c>
      <c r="D14" s="22">
        <f t="shared" si="0"/>
        <v>2.3007854050744679E-37</v>
      </c>
      <c r="E14" s="21">
        <f>IF($E$3="","",IF(A14&lt;=ROUND(INDEX(계산표!$N:$N,$E$3),0),IF(ROUND(INDEX(계산표!$N:$N,$E$3),0)&lt;=0,IF(A14=0,1,""),IF(INDEX(계산표!$U:$U,$E$3)&gt;=1,IF(A14=ROUND(INDEX(계산표!$N:$N,$E$3),0),1,0),IF(INDEX(계산표!$U:$U,$E$3)&lt;=0,IF(A14=0,1,0),_xludf.BINOM.DIST(A14,ROUND(INDEX(계산표!$N:$N,$E$3),0),INDEX(계산표!$U:$U,$E$3),FALSE)))),""))</f>
        <v>0</v>
      </c>
      <c r="F14" s="22">
        <f>IF(E14="","",INDEX(계산표!$AK:$AK,$E$3)*((ROUND(INDEX(계산표!$N:$N,$E$3),0)-A14)+A14*INDEX(계산표!$E:$E,$E$3))*INDEX(계산표!$Y:$Y,$E$3)*INDEX(계산표!$AA:$AA,$E$3)*설정!$B$25)</f>
        <v>12.492245915864931</v>
      </c>
      <c r="G14" s="22">
        <f t="shared" si="1"/>
        <v>0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>
      <c r="A15" s="15">
        <v>9</v>
      </c>
      <c r="B15" s="21">
        <f>IF($E$3="","",IF(A15&lt;=ROUND(INDEX(계산표!$I:$I,$E$3),0),IF(ROUND(INDEX(계산표!$I:$I,$E$3),0)&lt;=0,IF(A15=0,1,""),IF(INDEX(계산표!$T:$T,$E$3)&gt;=1,IF(A15=ROUND(INDEX(계산표!$I:$I,$E$3),0),1,0),IF(INDEX(계산표!$T:$T,$E$3)&lt;=0,IF(A15=0,1,0),_xlfn.BINOM.DIST(A15,ROUND(INDEX(계산표!$I:$I,$E$3),0),INDEX(계산표!$T:$T,$E$3),FALSE)))),""))</f>
        <v>6.5345833747497618E-37</v>
      </c>
      <c r="C15" s="22">
        <f>IF(B15="","",INDEX(계산표!$AJ:$AJ,$E$3)*((ROUND(INDEX(계산표!$I:$I,$E$3),0)-A15)+A15*INDEX(계산표!$E:$E,$E$3))*INDEX(계산표!$X:$X,$E$3)*INDEX(계산표!$Z:$Z,$E$3)*설정!$B$25)</f>
        <v>47.956220736357409</v>
      </c>
      <c r="D15" s="22">
        <f t="shared" si="0"/>
        <v>3.133739227396309E-35</v>
      </c>
      <c r="E15" s="21">
        <f>IF($E$3="","",IF(A15&lt;=ROUND(INDEX(계산표!$N:$N,$E$3),0),IF(ROUND(INDEX(계산표!$N:$N,$E$3),0)&lt;=0,IF(A15=0,1,""),IF(INDEX(계산표!$U:$U,$E$3)&gt;=1,IF(A15=ROUND(INDEX(계산표!$N:$N,$E$3),0),1,0),IF(INDEX(계산표!$U:$U,$E$3)&lt;=0,IF(A15=0,1,0),_xludf.BINOM.DIST(A15,ROUND(INDEX(계산표!$N:$N,$E$3),0),INDEX(계산표!$U:$U,$E$3),FALSE)))),""))</f>
        <v>0</v>
      </c>
      <c r="F15" s="22">
        <f>IF(E15="","",INDEX(계산표!$AK:$AK,$E$3)*((ROUND(INDEX(계산표!$N:$N,$E$3),0)-A15)+A15*INDEX(계산표!$E:$E,$E$3))*INDEX(계산표!$Y:$Y,$E$3)*INDEX(계산표!$AA:$AA,$E$3)*설정!$B$25)</f>
        <v>13.201412714582155</v>
      </c>
      <c r="G15" s="22">
        <f t="shared" si="1"/>
        <v>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>
      <c r="A16" s="15">
        <v>10</v>
      </c>
      <c r="B16" s="21">
        <f>IF($E$3="","",IF(A16&lt;=ROUND(INDEX(계산표!$I:$I,$E$3),0),IF(ROUND(INDEX(계산표!$I:$I,$E$3),0)&lt;=0,IF(A16=0,1,""),IF(INDEX(계산표!$T:$T,$E$3)&gt;=1,IF(A16=ROUND(INDEX(계산표!$I:$I,$E$3),0),1,0),IF(INDEX(계산표!$T:$T,$E$3)&lt;=0,IF(A16=0,1,0),_xlfn.BINOM.DIST(A16,ROUND(INDEX(계산표!$I:$I,$E$3),0),INDEX(계산표!$T:$T,$E$3),FALSE)))),""))</f>
        <v>7.3860930863545985E-35</v>
      </c>
      <c r="C16" s="22">
        <f>IF(B16="","",INDEX(계산표!$AJ:$AJ,$E$3)*((ROUND(INDEX(계산표!$I:$I,$E$3),0)-A16)+A16*INDEX(계산표!$E:$E,$E$3))*INDEX(계산표!$X:$X,$E$3)*INDEX(계산표!$Z:$Z,$E$3)*설정!$B$25)</f>
        <v>50.055314573302347</v>
      </c>
      <c r="D16" s="22">
        <f t="shared" si="0"/>
        <v>3.6971321290517304E-33</v>
      </c>
      <c r="E16" s="21">
        <f>IF($E$3="","",IF(A16&lt;=ROUND(INDEX(계산표!$N:$N,$E$3),0),IF(ROUND(INDEX(계산표!$N:$N,$E$3),0)&lt;=0,IF(A16=0,1,""),IF(INDEX(계산표!$U:$U,$E$3)&gt;=1,IF(A16=ROUND(INDEX(계산표!$N:$N,$E$3),0),1,0),IF(INDEX(계산표!$U:$U,$E$3)&lt;=0,IF(A16=0,1,0),_xludf.BINOM.DIST(A16,ROUND(INDEX(계산표!$N:$N,$E$3),0),INDEX(계산표!$U:$U,$E$3),FALSE)))),""))</f>
        <v>0</v>
      </c>
      <c r="F16" s="22">
        <f>IF(E16="","",INDEX(계산표!$AK:$AK,$E$3)*((ROUND(INDEX(계산표!$N:$N,$E$3),0)-A16)+A16*INDEX(계산표!$E:$E,$E$3))*INDEX(계산표!$Y:$Y,$E$3)*INDEX(계산표!$AA:$AA,$E$3)*설정!$B$25)</f>
        <v>13.910579513299378</v>
      </c>
      <c r="G16" s="22">
        <f t="shared" si="1"/>
        <v>0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>
      <c r="A17" s="15">
        <v>11</v>
      </c>
      <c r="B17" s="21">
        <f>IF($E$3="","",IF(A17&lt;=ROUND(INDEX(계산표!$I:$I,$E$3),0),IF(ROUND(INDEX(계산표!$I:$I,$E$3),0)&lt;=0,IF(A17=0,1,""),IF(INDEX(계산표!$T:$T,$E$3)&gt;=1,IF(A17=ROUND(INDEX(계산표!$I:$I,$E$3),0),1,0),IF(INDEX(계산표!$T:$T,$E$3)&lt;=0,IF(A17=0,1,0),_xlfn.BINOM.DIST(A17,ROUND(INDEX(계산표!$I:$I,$E$3),0),INDEX(계산표!$T:$T,$E$3),FALSE)))),""))</f>
        <v>7.3085050033472377E-33</v>
      </c>
      <c r="C17" s="22">
        <f>IF(B17="","",INDEX(계산표!$AJ:$AJ,$E$3)*((ROUND(INDEX(계산표!$I:$I,$E$3),0)-A17)+A17*INDEX(계산표!$E:$E,$E$3))*INDEX(계산표!$X:$X,$E$3)*INDEX(계산표!$Z:$Z,$E$3)*설정!$B$25)</f>
        <v>52.154408410247278</v>
      </c>
      <c r="D17" s="22">
        <f t="shared" si="0"/>
        <v>3.811707548129075E-31</v>
      </c>
      <c r="E17" s="21">
        <f>IF($E$3="","",IF(A17&lt;=ROUND(INDEX(계산표!$N:$N,$E$3),0),IF(ROUND(INDEX(계산표!$N:$N,$E$3),0)&lt;=0,IF(A17=0,1,""),IF(INDEX(계산표!$U:$U,$E$3)&gt;=1,IF(A17=ROUND(INDEX(계산표!$N:$N,$E$3),0),1,0),IF(INDEX(계산표!$U:$U,$E$3)&lt;=0,IF(A17=0,1,0),_xludf.BINOM.DIST(A17,ROUND(INDEX(계산표!$N:$N,$E$3),0),INDEX(계산표!$U:$U,$E$3),FALSE)))),""))</f>
        <v>0</v>
      </c>
      <c r="F17" s="22">
        <f>IF(E17="","",INDEX(계산표!$AK:$AK,$E$3)*((ROUND(INDEX(계산표!$N:$N,$E$3),0)-A17)+A17*INDEX(계산표!$E:$E,$E$3))*INDEX(계산표!$Y:$Y,$E$3)*INDEX(계산표!$AA:$AA,$E$3)*설정!$B$25)</f>
        <v>14.619746312016606</v>
      </c>
      <c r="G17" s="22">
        <f t="shared" si="1"/>
        <v>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>
      <c r="A18" s="15">
        <v>12</v>
      </c>
      <c r="B18" s="21">
        <f>IF($E$3="","",IF(A18&lt;=ROUND(INDEX(계산표!$I:$I,$E$3),0),IF(ROUND(INDEX(계산표!$I:$I,$E$3),0)&lt;=0,IF(A18=0,1,""),IF(INDEX(계산표!$T:$T,$E$3)&gt;=1,IF(A18=ROUND(INDEX(계산표!$I:$I,$E$3),0),1,0),IF(INDEX(계산표!$T:$T,$E$3)&lt;=0,IF(A18=0,1,0),_xlfn.BINOM.DIST(A18,ROUND(INDEX(계산표!$I:$I,$E$3),0),INDEX(계산표!$T:$T,$E$3),FALSE)))),""))</f>
        <v>6.374122715405147E-31</v>
      </c>
      <c r="C18" s="22">
        <f>IF(B18="","",INDEX(계산표!$AJ:$AJ,$E$3)*((ROUND(INDEX(계산표!$I:$I,$E$3),0)-A18)+A18*INDEX(계산표!$E:$E,$E$3))*INDEX(계산표!$X:$X,$E$3)*INDEX(계산표!$Z:$Z,$E$3)*설정!$B$25)</f>
        <v>54.253502247192216</v>
      </c>
      <c r="D18" s="22">
        <f t="shared" si="0"/>
        <v>3.4581848106411211E-29</v>
      </c>
      <c r="E18" s="21">
        <f>IF($E$3="","",IF(A18&lt;=ROUND(INDEX(계산표!$N:$N,$E$3),0),IF(ROUND(INDEX(계산표!$N:$N,$E$3),0)&lt;=0,IF(A18=0,1,""),IF(INDEX(계산표!$U:$U,$E$3)&gt;=1,IF(A18=ROUND(INDEX(계산표!$N:$N,$E$3),0),1,0),IF(INDEX(계산표!$U:$U,$E$3)&lt;=0,IF(A18=0,1,0),_xludf.BINOM.DIST(A18,ROUND(INDEX(계산표!$N:$N,$E$3),0),INDEX(계산표!$U:$U,$E$3),FALSE)))),""))</f>
        <v>0</v>
      </c>
      <c r="F18" s="22">
        <f>IF(E18="","",INDEX(계산표!$AK:$AK,$E$3)*((ROUND(INDEX(계산표!$N:$N,$E$3),0)-A18)+A18*INDEX(계산표!$E:$E,$E$3))*INDEX(계산표!$Y:$Y,$E$3)*INDEX(계산표!$AA:$AA,$E$3)*설정!$B$25)</f>
        <v>15.328913110733827</v>
      </c>
      <c r="G18" s="22">
        <f t="shared" si="1"/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>
      <c r="A19" s="15">
        <v>13</v>
      </c>
      <c r="B19" s="21">
        <f>IF($E$3="","",IF(A19&lt;=ROUND(INDEX(계산표!$I:$I,$E$3),0),IF(ROUND(INDEX(계산표!$I:$I,$E$3),0)&lt;=0,IF(A19=0,1,""),IF(INDEX(계산표!$T:$T,$E$3)&gt;=1,IF(A19=ROUND(INDEX(계산표!$I:$I,$E$3),0),1,0),IF(INDEX(계산표!$T:$T,$E$3)&lt;=0,IF(A19=0,1,0),_xlfn.BINOM.DIST(A19,ROUND(INDEX(계산표!$I:$I,$E$3),0),INDEX(계산표!$T:$T,$E$3),FALSE)))),""))</f>
        <v>4.9263063859313545E-29</v>
      </c>
      <c r="C19" s="22">
        <f>IF(B19="","",INDEX(계산표!$AJ:$AJ,$E$3)*((ROUND(INDEX(계산표!$I:$I,$E$3),0)-A19)+A19*INDEX(계산표!$E:$E,$E$3))*INDEX(계산표!$X:$X,$E$3)*INDEX(계산표!$Z:$Z,$E$3)*설정!$B$25)</f>
        <v>56.352596084137168</v>
      </c>
      <c r="D19" s="22">
        <f t="shared" si="0"/>
        <v>2.7761015395309518E-27</v>
      </c>
      <c r="E19" s="21">
        <f>IF($E$3="","",IF(A19&lt;=ROUND(INDEX(계산표!$N:$N,$E$3),0),IF(ROUND(INDEX(계산표!$N:$N,$E$3),0)&lt;=0,IF(A19=0,1,""),IF(INDEX(계산표!$U:$U,$E$3)&gt;=1,IF(A19=ROUND(INDEX(계산표!$N:$N,$E$3),0),1,0),IF(INDEX(계산표!$U:$U,$E$3)&lt;=0,IF(A19=0,1,0),_xludf.BINOM.DIST(A19,ROUND(INDEX(계산표!$N:$N,$E$3),0),INDEX(계산표!$U:$U,$E$3),FALSE)))),""))</f>
        <v>0</v>
      </c>
      <c r="F19" s="22">
        <f>IF(E19="","",INDEX(계산표!$AK:$AK,$E$3)*((ROUND(INDEX(계산표!$N:$N,$E$3),0)-A19)+A19*INDEX(계산표!$E:$E,$E$3))*INDEX(계산표!$Y:$Y,$E$3)*INDEX(계산표!$AA:$AA,$E$3)*설정!$B$25)</f>
        <v>16.038079909451049</v>
      </c>
      <c r="G19" s="22">
        <f t="shared" si="1"/>
        <v>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>
      <c r="A20" s="15">
        <v>14</v>
      </c>
      <c r="B20" s="21">
        <f>IF($E$3="","",IF(A20&lt;=ROUND(INDEX(계산표!$I:$I,$E$3),0),IF(ROUND(INDEX(계산표!$I:$I,$E$3),0)&lt;=0,IF(A20=0,1,""),IF(INDEX(계산표!$T:$T,$E$3)&gt;=1,IF(A20=ROUND(INDEX(계산표!$I:$I,$E$3),0),1,0),IF(INDEX(계산표!$T:$T,$E$3)&lt;=0,IF(A20=0,1,0),_xlfn.BINOM.DIST(A20,ROUND(INDEX(계산표!$I:$I,$E$3),0),INDEX(계산표!$T:$T,$E$3),FALSE)))),""))</f>
        <v>3.3880852407321774E-27</v>
      </c>
      <c r="C20" s="22">
        <f>IF(B20="","",INDEX(계산표!$AJ:$AJ,$E$3)*((ROUND(INDEX(계산표!$I:$I,$E$3),0)-A20)+A20*INDEX(계산표!$E:$E,$E$3))*INDEX(계산표!$X:$X,$E$3)*INDEX(계산표!$Z:$Z,$E$3)*설정!$B$25)</f>
        <v>58.451689921082099</v>
      </c>
      <c r="D20" s="22">
        <f t="shared" si="0"/>
        <v>1.9803930791747203E-25</v>
      </c>
      <c r="E20" s="21">
        <f>IF($E$3="","",IF(A20&lt;=ROUND(INDEX(계산표!$N:$N,$E$3),0),IF(ROUND(INDEX(계산표!$N:$N,$E$3),0)&lt;=0,IF(A20=0,1,""),IF(INDEX(계산표!$U:$U,$E$3)&gt;=1,IF(A20=ROUND(INDEX(계산표!$N:$N,$E$3),0),1,0),IF(INDEX(계산표!$U:$U,$E$3)&lt;=0,IF(A20=0,1,0),_xludf.BINOM.DIST(A20,ROUND(INDEX(계산표!$N:$N,$E$3),0),INDEX(계산표!$U:$U,$E$3),FALSE)))),""))</f>
        <v>0</v>
      </c>
      <c r="F20" s="22">
        <f>IF(E20="","",INDEX(계산표!$AK:$AK,$E$3)*((ROUND(INDEX(계산표!$N:$N,$E$3),0)-A20)+A20*INDEX(계산표!$E:$E,$E$3))*INDEX(계산표!$Y:$Y,$E$3)*INDEX(계산표!$AA:$AA,$E$3)*설정!$B$25)</f>
        <v>16.747246708168269</v>
      </c>
      <c r="G20" s="22">
        <f t="shared" si="1"/>
        <v>0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>
      <c r="A21" s="15">
        <v>15</v>
      </c>
      <c r="B21" s="21">
        <f>IF($E$3="","",IF(A21&lt;=ROUND(INDEX(계산표!$I:$I,$E$3),0),IF(ROUND(INDEX(계산표!$I:$I,$E$3),0)&lt;=0,IF(A21=0,1,""),IF(INDEX(계산표!$T:$T,$E$3)&gt;=1,IF(A21=ROUND(INDEX(계산표!$I:$I,$E$3),0),1,0),IF(INDEX(계산표!$T:$T,$E$3)&lt;=0,IF(A21=0,1,0),_xlfn.BINOM.DIST(A21,ROUND(INDEX(계산표!$I:$I,$E$3),0),INDEX(계산표!$T:$T,$E$3),FALSE)))),""))</f>
        <v>2.0802659427189602E-25</v>
      </c>
      <c r="C21" s="22">
        <f>IF(B21="","",INDEX(계산표!$AJ:$AJ,$E$3)*((ROUND(INDEX(계산표!$I:$I,$E$3),0)-A21)+A21*INDEX(계산표!$E:$E,$E$3))*INDEX(계산표!$X:$X,$E$3)*INDEX(계산표!$Z:$Z,$E$3)*설정!$B$25)</f>
        <v>60.550783758027023</v>
      </c>
      <c r="D21" s="22">
        <f t="shared" si="0"/>
        <v>1.2596173325676399E-23</v>
      </c>
      <c r="E21" s="21">
        <f>IF($E$3="","",IF(A21&lt;=ROUND(INDEX(계산표!$N:$N,$E$3),0),IF(ROUND(INDEX(계산표!$N:$N,$E$3),0)&lt;=0,IF(A21=0,1,""),IF(INDEX(계산표!$U:$U,$E$3)&gt;=1,IF(A21=ROUND(INDEX(계산표!$N:$N,$E$3),0),1,0),IF(INDEX(계산표!$U:$U,$E$3)&lt;=0,IF(A21=0,1,0),_xludf.BINOM.DIST(A21,ROUND(INDEX(계산표!$N:$N,$E$3),0),INDEX(계산표!$U:$U,$E$3),FALSE)))),""))</f>
        <v>0</v>
      </c>
      <c r="F21" s="22">
        <f>IF(E21="","",INDEX(계산표!$AK:$AK,$E$3)*((ROUND(INDEX(계산표!$N:$N,$E$3),0)-A21)+A21*INDEX(계산표!$E:$E,$E$3))*INDEX(계산표!$Y:$Y,$E$3)*INDEX(계산표!$AA:$AA,$E$3)*설정!$B$25)</f>
        <v>17.456413506885493</v>
      </c>
      <c r="G21" s="22">
        <f t="shared" si="1"/>
        <v>0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>
      <c r="A22" s="15">
        <v>16</v>
      </c>
      <c r="B22" s="21">
        <f>IF($E$3="","",IF(A22&lt;=ROUND(INDEX(계산표!$I:$I,$E$3),0),IF(ROUND(INDEX(계산표!$I:$I,$E$3),0)&lt;=0,IF(A22=0,1,""),IF(INDEX(계산표!$T:$T,$E$3)&gt;=1,IF(A22=ROUND(INDEX(계산표!$I:$I,$E$3),0),1,0),IF(INDEX(계산표!$T:$T,$E$3)&lt;=0,IF(A22=0,1,0),_xlfn.BINOM.DIST(A22,ROUND(INDEX(계산표!$I:$I,$E$3),0),INDEX(계산표!$T:$T,$E$3),FALSE)))),""))</f>
        <v>1.143013290392789E-23</v>
      </c>
      <c r="C22" s="22">
        <f>IF(B22="","",INDEX(계산표!$AJ:$AJ,$E$3)*((ROUND(INDEX(계산표!$I:$I,$E$3),0)-A22)+A22*INDEX(계산표!$E:$E,$E$3))*INDEX(계산표!$X:$X,$E$3)*INDEX(계산표!$Z:$Z,$E$3)*설정!$B$25)</f>
        <v>62.649877594971969</v>
      </c>
      <c r="D22" s="22">
        <f t="shared" si="0"/>
        <v>7.1609642732534378E-22</v>
      </c>
      <c r="E22" s="21">
        <f>IF($E$3="","",IF(A22&lt;=ROUND(INDEX(계산표!$N:$N,$E$3),0),IF(ROUND(INDEX(계산표!$N:$N,$E$3),0)&lt;=0,IF(A22=0,1,""),IF(INDEX(계산표!$U:$U,$E$3)&gt;=1,IF(A22=ROUND(INDEX(계산표!$N:$N,$E$3),0),1,0),IF(INDEX(계산표!$U:$U,$E$3)&lt;=0,IF(A22=0,1,0),_xludf.BINOM.DIST(A22,ROUND(INDEX(계산표!$N:$N,$E$3),0),INDEX(계산표!$U:$U,$E$3),FALSE)))),""))</f>
        <v>0</v>
      </c>
      <c r="F22" s="22">
        <f>IF(E22="","",INDEX(계산표!$AK:$AK,$E$3)*((ROUND(INDEX(계산표!$N:$N,$E$3),0)-A22)+A22*INDEX(계산표!$E:$E,$E$3))*INDEX(계산표!$Y:$Y,$E$3)*INDEX(계산표!$AA:$AA,$E$3)*설정!$B$25)</f>
        <v>18.165580305602713</v>
      </c>
      <c r="G22" s="22">
        <f t="shared" si="1"/>
        <v>0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>
      <c r="A23" s="15">
        <v>17</v>
      </c>
      <c r="B23" s="21">
        <f>IF($E$3="","",IF(A23&lt;=ROUND(INDEX(계산표!$I:$I,$E$3),0),IF(ROUND(INDEX(계산표!$I:$I,$E$3),0)&lt;=0,IF(A23=0,1,""),IF(INDEX(계산표!$T:$T,$E$3)&gt;=1,IF(A23=ROUND(INDEX(계산표!$I:$I,$E$3),0),1,0),IF(INDEX(계산표!$T:$T,$E$3)&lt;=0,IF(A23=0,1,0),_xlfn.BINOM.DIST(A23,ROUND(INDEX(계산표!$I:$I,$E$3),0),INDEX(계산표!$T:$T,$E$3),FALSE)))),""))</f>
        <v>5.6294434851764758E-22</v>
      </c>
      <c r="C23" s="22">
        <f>IF(B23="","",INDEX(계산표!$AJ:$AJ,$E$3)*((ROUND(INDEX(계산표!$I:$I,$E$3),0)-A23)+A23*INDEX(계산표!$E:$E,$E$3))*INDEX(계산표!$X:$X,$E$3)*INDEX(계산표!$Z:$Z,$E$3)*설정!$B$25)</f>
        <v>64.748971431916914</v>
      </c>
      <c r="D23" s="22">
        <f t="shared" si="0"/>
        <v>3.6450067539928245E-20</v>
      </c>
      <c r="E23" s="21">
        <f>IF($E$3="","",IF(A23&lt;=ROUND(INDEX(계산표!$N:$N,$E$3),0),IF(ROUND(INDEX(계산표!$N:$N,$E$3),0)&lt;=0,IF(A23=0,1,""),IF(INDEX(계산표!$U:$U,$E$3)&gt;=1,IF(A23=ROUND(INDEX(계산표!$N:$N,$E$3),0),1,0),IF(INDEX(계산표!$U:$U,$E$3)&lt;=0,IF(A23=0,1,0),_xludf.BINOM.DIST(A23,ROUND(INDEX(계산표!$N:$N,$E$3),0),INDEX(계산표!$U:$U,$E$3),FALSE)))),""))</f>
        <v>0</v>
      </c>
      <c r="F23" s="22">
        <f>IF(E23="","",INDEX(계산표!$AK:$AK,$E$3)*((ROUND(INDEX(계산표!$N:$N,$E$3),0)-A23)+A23*INDEX(계산표!$E:$E,$E$3))*INDEX(계산표!$Y:$Y,$E$3)*INDEX(계산표!$AA:$AA,$E$3)*설정!$B$25)</f>
        <v>18.874747104319944</v>
      </c>
      <c r="G23" s="22">
        <f t="shared" si="1"/>
        <v>0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>
      <c r="A24" s="15">
        <v>18</v>
      </c>
      <c r="B24" s="21">
        <f>IF($E$3="","",IF(A24&lt;=ROUND(INDEX(계산표!$I:$I,$E$3),0),IF(ROUND(INDEX(계산표!$I:$I,$E$3),0)&lt;=0,IF(A24=0,1,""),IF(INDEX(계산표!$T:$T,$E$3)&gt;=1,IF(A24=ROUND(INDEX(계산표!$I:$I,$E$3),0),1,0),IF(INDEX(계산표!$T:$T,$E$3)&lt;=0,IF(A24=0,1,0),_xlfn.BINOM.DIST(A24,ROUND(INDEX(계산표!$I:$I,$E$3),0),INDEX(계산표!$T:$T,$E$3),FALSE)))),""))</f>
        <v>2.487594961296376E-20</v>
      </c>
      <c r="C24" s="22">
        <f>IF(B24="","",INDEX(계산표!$AJ:$AJ,$E$3)*((ROUND(INDEX(계산표!$I:$I,$E$3),0)-A24)+A24*INDEX(계산표!$E:$E,$E$3))*INDEX(계산표!$X:$X,$E$3)*INDEX(계산표!$Z:$Z,$E$3)*설정!$B$25)</f>
        <v>66.848065268861845</v>
      </c>
      <c r="D24" s="22">
        <f t="shared" si="0"/>
        <v>1.66290910335232E-18</v>
      </c>
      <c r="E24" s="21">
        <f>IF($E$3="","",IF(A24&lt;=ROUND(INDEX(계산표!$N:$N,$E$3),0),IF(ROUND(INDEX(계산표!$N:$N,$E$3),0)&lt;=0,IF(A24=0,1,""),IF(INDEX(계산표!$U:$U,$E$3)&gt;=1,IF(A24=ROUND(INDEX(계산표!$N:$N,$E$3),0),1,0),IF(INDEX(계산표!$U:$U,$E$3)&lt;=0,IF(A24=0,1,0),_xludf.BINOM.DIST(A24,ROUND(INDEX(계산표!$N:$N,$E$3),0),INDEX(계산표!$U:$U,$E$3),FALSE)))),""))</f>
        <v>0</v>
      </c>
      <c r="F24" s="22">
        <f>IF(E24="","",INDEX(계산표!$AK:$AK,$E$3)*((ROUND(INDEX(계산표!$N:$N,$E$3),0)-A24)+A24*INDEX(계산표!$E:$E,$E$3))*INDEX(계산표!$Y:$Y,$E$3)*INDEX(계산표!$AA:$AA,$E$3)*설정!$B$25)</f>
        <v>19.583913903037164</v>
      </c>
      <c r="G24" s="22">
        <f t="shared" si="1"/>
        <v>0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>
      <c r="A25" s="15">
        <v>19</v>
      </c>
      <c r="B25" s="21">
        <f>IF($E$3="","",IF(A25&lt;=ROUND(INDEX(계산표!$I:$I,$E$3),0),IF(ROUND(INDEX(계산표!$I:$I,$E$3),0)&lt;=0,IF(A25=0,1,""),IF(INDEX(계산표!$T:$T,$E$3)&gt;=1,IF(A25=ROUND(INDEX(계산표!$I:$I,$E$3),0),1,0),IF(INDEX(계산표!$T:$T,$E$3)&lt;=0,IF(A25=0,1,0),_xlfn.BINOM.DIST(A25,ROUND(INDEX(계산표!$I:$I,$E$3),0),INDEX(계산표!$T:$T,$E$3),FALSE)))),""))</f>
        <v>9.8657857908922039E-19</v>
      </c>
      <c r="C25" s="22">
        <f>IF(B25="","",INDEX(계산표!$AJ:$AJ,$E$3)*((ROUND(INDEX(계산표!$I:$I,$E$3),0)-A25)+A25*INDEX(계산표!$E:$E,$E$3))*INDEX(계산표!$X:$X,$E$3)*INDEX(계산표!$Z:$Z,$E$3)*설정!$B$25)</f>
        <v>68.947159105806776</v>
      </c>
      <c r="D25" s="22">
        <f t="shared" si="0"/>
        <v>6.8021790262845253E-17</v>
      </c>
      <c r="E25" s="21">
        <f>IF($E$3="","",IF(A25&lt;=ROUND(INDEX(계산표!$N:$N,$E$3),0),IF(ROUND(INDEX(계산표!$N:$N,$E$3),0)&lt;=0,IF(A25=0,1,""),IF(INDEX(계산표!$U:$U,$E$3)&gt;=1,IF(A25=ROUND(INDEX(계산표!$N:$N,$E$3),0),1,0),IF(INDEX(계산표!$U:$U,$E$3)&lt;=0,IF(A25=0,1,0),_xludf.BINOM.DIST(A25,ROUND(INDEX(계산표!$N:$N,$E$3),0),INDEX(계산표!$U:$U,$E$3),FALSE)))),""))</f>
        <v>0</v>
      </c>
      <c r="F25" s="22">
        <f>IF(E25="","",INDEX(계산표!$AK:$AK,$E$3)*((ROUND(INDEX(계산표!$N:$N,$E$3),0)-A25)+A25*INDEX(계산표!$E:$E,$E$3))*INDEX(계산표!$Y:$Y,$E$3)*INDEX(계산표!$AA:$AA,$E$3)*설정!$B$25)</f>
        <v>20.293080701754391</v>
      </c>
      <c r="G25" s="22">
        <f t="shared" si="1"/>
        <v>0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>
      <c r="A26" s="15">
        <v>20</v>
      </c>
      <c r="B26" s="21">
        <f>IF($E$3="","",IF(A26&lt;=ROUND(INDEX(계산표!$I:$I,$E$3),0),IF(ROUND(INDEX(계산표!$I:$I,$E$3),0)&lt;=0,IF(A26=0,1,""),IF(INDEX(계산표!$T:$T,$E$3)&gt;=1,IF(A26=ROUND(INDEX(계산표!$I:$I,$E$3),0),1,0),IF(INDEX(계산표!$T:$T,$E$3)&lt;=0,IF(A26=0,1,0),_xlfn.BINOM.DIST(A26,ROUND(INDEX(계산표!$I:$I,$E$3),0),INDEX(계산표!$T:$T,$E$3),FALSE)))),""))</f>
        <v>3.5106191415053645E-17</v>
      </c>
      <c r="C26" s="22">
        <f>IF(B26="","",INDEX(계산표!$AJ:$AJ,$E$3)*((ROUND(INDEX(계산표!$I:$I,$E$3),0)-A26)+A26*INDEX(계산표!$E:$E,$E$3))*INDEX(계산표!$X:$X,$E$3)*INDEX(계산표!$Z:$Z,$E$3)*설정!$B$25)</f>
        <v>71.046252942751707</v>
      </c>
      <c r="D26" s="22">
        <f t="shared" si="0"/>
        <v>2.4941633551305597E-15</v>
      </c>
      <c r="E26" s="21">
        <f>IF($E$3="","",IF(A26&lt;=ROUND(INDEX(계산표!$N:$N,$E$3),0),IF(ROUND(INDEX(계산표!$N:$N,$E$3),0)&lt;=0,IF(A26=0,1,""),IF(INDEX(계산표!$U:$U,$E$3)&gt;=1,IF(A26=ROUND(INDEX(계산표!$N:$N,$E$3),0),1,0),IF(INDEX(계산표!$U:$U,$E$3)&lt;=0,IF(A26=0,1,0),_xludf.BINOM.DIST(A26,ROUND(INDEX(계산표!$N:$N,$E$3),0),INDEX(계산표!$U:$U,$E$3),FALSE)))),""))</f>
        <v>0</v>
      </c>
      <c r="F26" s="22">
        <f>IF(E26="","",INDEX(계산표!$AK:$AK,$E$3)*((ROUND(INDEX(계산표!$N:$N,$E$3),0)-A26)+A26*INDEX(계산표!$E:$E,$E$3))*INDEX(계산표!$Y:$Y,$E$3)*INDEX(계산표!$AA:$AA,$E$3)*설정!$B$25)</f>
        <v>21.002247500471615</v>
      </c>
      <c r="G26" s="22">
        <f t="shared" si="1"/>
        <v>0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>
      <c r="A27" s="15">
        <v>21</v>
      </c>
      <c r="B27" s="21">
        <f>IF($E$3="","",IF(A27&lt;=ROUND(INDEX(계산표!$I:$I,$E$3),0),IF(ROUND(INDEX(계산표!$I:$I,$E$3),0)&lt;=0,IF(A27=0,1,""),IF(INDEX(계산표!$T:$T,$E$3)&gt;=1,IF(A27=ROUND(INDEX(계산표!$I:$I,$E$3),0),1,0),IF(INDEX(계산표!$T:$T,$E$3)&lt;=0,IF(A27=0,1,0),_xlfn.BINOM.DIST(A27,ROUND(INDEX(계산표!$I:$I,$E$3),0),INDEX(계산표!$T:$T,$E$3),FALSE)))),""))</f>
        <v>1.1197408272803178E-15</v>
      </c>
      <c r="C27" s="22">
        <f>IF(B27="","",INDEX(계산표!$AJ:$AJ,$E$3)*((ROUND(INDEX(계산표!$I:$I,$E$3),0)-A27)+A27*INDEX(계산표!$E:$E,$E$3))*INDEX(계산표!$X:$X,$E$3)*INDEX(계산표!$Z:$Z,$E$3)*설정!$B$25)</f>
        <v>73.145346779696652</v>
      </c>
      <c r="D27" s="22">
        <f t="shared" si="0"/>
        <v>8.1903831114803263E-14</v>
      </c>
      <c r="E27" s="21">
        <f>IF($E$3="","",IF(A27&lt;=ROUND(INDEX(계산표!$N:$N,$E$3),0),IF(ROUND(INDEX(계산표!$N:$N,$E$3),0)&lt;=0,IF(A27=0,1,""),IF(INDEX(계산표!$U:$U,$E$3)&gt;=1,IF(A27=ROUND(INDEX(계산표!$N:$N,$E$3),0),1,0),IF(INDEX(계산표!$U:$U,$E$3)&lt;=0,IF(A27=0,1,0),_xludf.BINOM.DIST(A27,ROUND(INDEX(계산표!$N:$N,$E$3),0),INDEX(계산표!$U:$U,$E$3),FALSE)))),""))</f>
        <v>0</v>
      </c>
      <c r="F27" s="22">
        <f>IF(E27="","",INDEX(계산표!$AK:$AK,$E$3)*((ROUND(INDEX(계산표!$N:$N,$E$3),0)-A27)+A27*INDEX(계산표!$E:$E,$E$3))*INDEX(계산표!$Y:$Y,$E$3)*INDEX(계산표!$AA:$AA,$E$3)*설정!$B$25)</f>
        <v>21.711414299188839</v>
      </c>
      <c r="G27" s="22">
        <f t="shared" si="1"/>
        <v>0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>
      <c r="A28" s="15">
        <v>22</v>
      </c>
      <c r="B28" s="21">
        <f>IF($E$3="","",IF(A28&lt;=ROUND(INDEX(계산표!$I:$I,$E$3),0),IF(ROUND(INDEX(계산표!$I:$I,$E$3),0)&lt;=0,IF(A28=0,1,""),IF(INDEX(계산표!$T:$T,$E$3)&gt;=1,IF(A28=ROUND(INDEX(계산표!$I:$I,$E$3),0),1,0),IF(INDEX(계산표!$T:$T,$E$3)&lt;=0,IF(A28=0,1,0),_xlfn.BINOM.DIST(A28,ROUND(INDEX(계산표!$I:$I,$E$3),0),INDEX(계산표!$T:$T,$E$3),FALSE)))),""))</f>
        <v>3.1960914754117019E-14</v>
      </c>
      <c r="C28" s="22">
        <f>IF(B28="","",INDEX(계산표!$AJ:$AJ,$E$3)*((ROUND(INDEX(계산표!$I:$I,$E$3),0)-A28)+A28*INDEX(계산표!$E:$E,$E$3))*INDEX(계산표!$X:$X,$E$3)*INDEX(계산표!$Z:$Z,$E$3)*설정!$B$25)</f>
        <v>75.244440616641597</v>
      </c>
      <c r="D28" s="22">
        <f t="shared" si="0"/>
        <v>2.4048811522697024E-12</v>
      </c>
      <c r="E28" s="21">
        <f>IF($E$3="","",IF(A28&lt;=ROUND(INDEX(계산표!$N:$N,$E$3),0),IF(ROUND(INDEX(계산표!$N:$N,$E$3),0)&lt;=0,IF(A28=0,1,""),IF(INDEX(계산표!$U:$U,$E$3)&gt;=1,IF(A28=ROUND(INDEX(계산표!$N:$N,$E$3),0),1,0),IF(INDEX(계산표!$U:$U,$E$3)&lt;=0,IF(A28=0,1,0),_xludf.BINOM.DIST(A28,ROUND(INDEX(계산표!$N:$N,$E$3),0),INDEX(계산표!$U:$U,$E$3),FALSE)))),""))</f>
        <v>0</v>
      </c>
      <c r="F28" s="22">
        <f>IF(E28="","",INDEX(계산표!$AK:$AK,$E$3)*((ROUND(INDEX(계산표!$N:$N,$E$3),0)-A28)+A28*INDEX(계산표!$E:$E,$E$3))*INDEX(계산표!$Y:$Y,$E$3)*INDEX(계산표!$AA:$AA,$E$3)*설정!$B$25)</f>
        <v>22.420581097906062</v>
      </c>
      <c r="G28" s="22">
        <f t="shared" si="1"/>
        <v>0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>
      <c r="A29" s="15">
        <v>23</v>
      </c>
      <c r="B29" s="21">
        <f>IF($E$3="","",IF(A29&lt;=ROUND(INDEX(계산표!$I:$I,$E$3),0),IF(ROUND(INDEX(계산표!$I:$I,$E$3),0)&lt;=0,IF(A29=0,1,""),IF(INDEX(계산표!$T:$T,$E$3)&gt;=1,IF(A29=ROUND(INDEX(계산표!$I:$I,$E$3),0),1,0),IF(INDEX(계산표!$T:$T,$E$3)&lt;=0,IF(A29=0,1,0),_xlfn.BINOM.DIST(A29,ROUND(INDEX(계산표!$I:$I,$E$3),0),INDEX(계산표!$T:$T,$E$3),FALSE)))),""))</f>
        <v>8.1442764975241587E-13</v>
      </c>
      <c r="C29" s="22">
        <f>IF(B29="","",INDEX(계산표!$AJ:$AJ,$E$3)*((ROUND(INDEX(계산표!$I:$I,$E$3),0)-A29)+A29*INDEX(계산표!$E:$E,$E$3))*INDEX(계산표!$X:$X,$E$3)*INDEX(계산표!$Z:$Z,$E$3)*설정!$B$25)</f>
        <v>77.343534453586528</v>
      </c>
      <c r="D29" s="22">
        <f t="shared" si="0"/>
        <v>6.2990712988579478E-11</v>
      </c>
      <c r="E29" s="21">
        <f>IF($E$3="","",IF(A29&lt;=ROUND(INDEX(계산표!$N:$N,$E$3),0),IF(ROUND(INDEX(계산표!$N:$N,$E$3),0)&lt;=0,IF(A29=0,1,""),IF(INDEX(계산표!$U:$U,$E$3)&gt;=1,IF(A29=ROUND(INDEX(계산표!$N:$N,$E$3),0),1,0),IF(INDEX(계산표!$U:$U,$E$3)&lt;=0,IF(A29=0,1,0),_xludf.BINOM.DIST(A29,ROUND(INDEX(계산표!$N:$N,$E$3),0),INDEX(계산표!$U:$U,$E$3),FALSE)))),""))</f>
        <v>0</v>
      </c>
      <c r="F29" s="22">
        <f>IF(E29="","",INDEX(계산표!$AK:$AK,$E$3)*((ROUND(INDEX(계산표!$N:$N,$E$3),0)-A29)+A29*INDEX(계산표!$E:$E,$E$3))*INDEX(계산표!$Y:$Y,$E$3)*INDEX(계산표!$AA:$AA,$E$3)*설정!$B$25)</f>
        <v>23.129747896623282</v>
      </c>
      <c r="G29" s="22">
        <f t="shared" si="1"/>
        <v>0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>
      <c r="A30" s="15">
        <v>24</v>
      </c>
      <c r="B30" s="21">
        <f>IF($E$3="","",IF(A30&lt;=ROUND(INDEX(계산표!$I:$I,$E$3),0),IF(ROUND(INDEX(계산표!$I:$I,$E$3),0)&lt;=0,IF(A30=0,1,""),IF(INDEX(계산표!$T:$T,$E$3)&gt;=1,IF(A30=ROUND(INDEX(계산표!$I:$I,$E$3),0),1,0),IF(INDEX(계산표!$T:$T,$E$3)&lt;=0,IF(A30=0,1,0),_xlfn.BINOM.DIST(A30,ROUND(INDEX(계산표!$I:$I,$E$3),0),INDEX(계산표!$T:$T,$E$3),FALSE)))),""))</f>
        <v>1.8467909138605637E-11</v>
      </c>
      <c r="C30" s="22">
        <f>IF(B30="","",INDEX(계산표!$AJ:$AJ,$E$3)*((ROUND(INDEX(계산표!$I:$I,$E$3),0)-A30)+A30*INDEX(계산표!$E:$E,$E$3))*INDEX(계산표!$X:$X,$E$3)*INDEX(계산표!$Z:$Z,$E$3)*설정!$B$25)</f>
        <v>79.442628290531459</v>
      </c>
      <c r="D30" s="22">
        <f t="shared" si="0"/>
        <v>1.4671392410015566E-9</v>
      </c>
      <c r="E30" s="21">
        <f>IF($E$3="","",IF(A30&lt;=ROUND(INDEX(계산표!$N:$N,$E$3),0),IF(ROUND(INDEX(계산표!$N:$N,$E$3),0)&lt;=0,IF(A30=0,1,""),IF(INDEX(계산표!$U:$U,$E$3)&gt;=1,IF(A30=ROUND(INDEX(계산표!$N:$N,$E$3),0),1,0),IF(INDEX(계산표!$U:$U,$E$3)&lt;=0,IF(A30=0,1,0),_xludf.BINOM.DIST(A30,ROUND(INDEX(계산표!$N:$N,$E$3),0),INDEX(계산표!$U:$U,$E$3),FALSE)))),""))</f>
        <v>0</v>
      </c>
      <c r="F30" s="22">
        <f>IF(E30="","",INDEX(계산표!$AK:$AK,$E$3)*((ROUND(INDEX(계산표!$N:$N,$E$3),0)-A30)+A30*INDEX(계산표!$E:$E,$E$3))*INDEX(계산표!$Y:$Y,$E$3)*INDEX(계산표!$AA:$AA,$E$3)*설정!$B$25)</f>
        <v>23.838914695340506</v>
      </c>
      <c r="G30" s="22">
        <f t="shared" si="1"/>
        <v>0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>
      <c r="A31" s="15">
        <v>25</v>
      </c>
      <c r="B31" s="21">
        <f>IF($E$3="","",IF(A31&lt;=ROUND(INDEX(계산표!$I:$I,$E$3),0),IF(ROUND(INDEX(계산표!$I:$I,$E$3),0)&lt;=0,IF(A31=0,1,""),IF(INDEX(계산표!$T:$T,$E$3)&gt;=1,IF(A31=ROUND(INDEX(계산표!$I:$I,$E$3),0),1,0),IF(INDEX(계산표!$T:$T,$E$3)&lt;=0,IF(A31=0,1,0),_xlfn.BINOM.DIST(A31,ROUND(INDEX(계산표!$I:$I,$E$3),0),INDEX(계산표!$T:$T,$E$3),FALSE)))),""))</f>
        <v>3.7110095811542901E-10</v>
      </c>
      <c r="C31" s="22">
        <f>IF(B31="","",INDEX(계산표!$AJ:$AJ,$E$3)*((ROUND(INDEX(계산표!$I:$I,$E$3),0)-A31)+A31*INDEX(계산표!$E:$E,$E$3))*INDEX(계산표!$X:$X,$E$3)*INDEX(계산표!$Z:$Z,$E$3)*설정!$B$25)</f>
        <v>81.54172212747639</v>
      </c>
      <c r="D31" s="22">
        <f t="shared" si="0"/>
        <v>3.0260211207888566E-8</v>
      </c>
      <c r="E31" s="21">
        <f>IF($E$3="","",IF(A31&lt;=ROUND(INDEX(계산표!$N:$N,$E$3),0),IF(ROUND(INDEX(계산표!$N:$N,$E$3),0)&lt;=0,IF(A31=0,1,""),IF(INDEX(계산표!$U:$U,$E$3)&gt;=1,IF(A31=ROUND(INDEX(계산표!$N:$N,$E$3),0),1,0),IF(INDEX(계산표!$U:$U,$E$3)&lt;=0,IF(A31=0,1,0),_xludf.BINOM.DIST(A31,ROUND(INDEX(계산표!$N:$N,$E$3),0),INDEX(계산표!$U:$U,$E$3),FALSE)))),""))</f>
        <v>1</v>
      </c>
      <c r="F31" s="22">
        <f>IF(E31="","",INDEX(계산표!$AK:$AK,$E$3)*((ROUND(INDEX(계산표!$N:$N,$E$3),0)-A31)+A31*INDEX(계산표!$E:$E,$E$3))*INDEX(계산표!$Y:$Y,$E$3)*INDEX(계산표!$AA:$AA,$E$3)*설정!$B$25)</f>
        <v>24.548081494057726</v>
      </c>
      <c r="G31" s="22">
        <f t="shared" si="1"/>
        <v>24.548081494057726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>
      <c r="A32" s="15">
        <v>26</v>
      </c>
      <c r="B32" s="21">
        <f>IF($E$3="","",IF(A32&lt;=ROUND(INDEX(계산표!$I:$I,$E$3),0),IF(ROUND(INDEX(계산표!$I:$I,$E$3),0)&lt;=0,IF(A32=0,1,""),IF(INDEX(계산표!$T:$T,$E$3)&gt;=1,IF(A32=ROUND(INDEX(계산표!$I:$I,$E$3),0),1,0),IF(INDEX(계산표!$T:$T,$E$3)&lt;=0,IF(A32=0,1,0),_xlfn.BINOM.DIST(A32,ROUND(INDEX(계산표!$I:$I,$E$3),0),INDEX(계산표!$T:$T,$E$3),FALSE)))),""))</f>
        <v>6.5727107725090576E-9</v>
      </c>
      <c r="C32" s="22">
        <f>IF(B32="","",INDEX(계산표!$AJ:$AJ,$E$3)*((ROUND(INDEX(계산표!$I:$I,$E$3),0)-A32)+A32*INDEX(계산표!$E:$E,$E$3))*INDEX(계산표!$X:$X,$E$3)*INDEX(계산표!$Z:$Z,$E$3)*설정!$B$25)</f>
        <v>83.640815964421336</v>
      </c>
      <c r="D32" s="22">
        <f t="shared" si="0"/>
        <v>5.497468921107997E-7</v>
      </c>
      <c r="E32" s="21" t="str">
        <f>IF($E$3="","",IF(A32&lt;=ROUND(INDEX(계산표!$N:$N,$E$3),0),IF(ROUND(INDEX(계산표!$N:$N,$E$3),0)&lt;=0,IF(A32=0,1,""),IF(INDEX(계산표!$U:$U,$E$3)&gt;=1,IF(A32=ROUND(INDEX(계산표!$N:$N,$E$3),0),1,0),IF(INDEX(계산표!$U:$U,$E$3)&lt;=0,IF(A32=0,1,0),_xludf.BINOM.DIST(A32,ROUND(INDEX(계산표!$N:$N,$E$3),0),INDEX(계산표!$U:$U,$E$3),FALSE)))),""))</f>
        <v/>
      </c>
      <c r="F32" s="22" t="str">
        <f>IF(E32="","",INDEX(계산표!$AK:$AK,$E$3)*((ROUND(INDEX(계산표!$N:$N,$E$3),0)-A32)+A32*INDEX(계산표!$E:$E,$E$3))*INDEX(계산표!$Y:$Y,$E$3)*INDEX(계산표!$AA:$AA,$E$3)*설정!$B$25)</f>
        <v/>
      </c>
      <c r="G32" s="22" t="str">
        <f t="shared" si="1"/>
        <v/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>
      <c r="A33" s="15">
        <v>27</v>
      </c>
      <c r="B33" s="21">
        <f>IF($E$3="","",IF(A33&lt;=ROUND(INDEX(계산표!$I:$I,$E$3),0),IF(ROUND(INDEX(계산표!$I:$I,$E$3),0)&lt;=0,IF(A33=0,1,""),IF(INDEX(계산표!$T:$T,$E$3)&gt;=1,IF(A33=ROUND(INDEX(계산표!$I:$I,$E$3),0),1,0),IF(INDEX(계산표!$T:$T,$E$3)&lt;=0,IF(A33=0,1,0),_xlfn.BINOM.DIST(A33,ROUND(INDEX(계산표!$I:$I,$E$3),0),INDEX(계산표!$T:$T,$E$3),FALSE)))),""))</f>
        <v>1.0190931133314991E-7</v>
      </c>
      <c r="C33" s="22">
        <f>IF(B33="","",INDEX(계산표!$AJ:$AJ,$E$3)*((ROUND(INDEX(계산표!$I:$I,$E$3),0)-A33)+A33*INDEX(계산표!$E:$E,$E$3))*INDEX(계산표!$X:$X,$E$3)*INDEX(계산표!$Z:$Z,$E$3)*설정!$B$25)</f>
        <v>85.739909801366281</v>
      </c>
      <c r="D33" s="22">
        <f t="shared" si="0"/>
        <v>8.7376951616236279E-6</v>
      </c>
      <c r="E33" s="21" t="str">
        <f>IF($E$3="","",IF(A33&lt;=ROUND(INDEX(계산표!$N:$N,$E$3),0),IF(ROUND(INDEX(계산표!$N:$N,$E$3),0)&lt;=0,IF(A33=0,1,""),IF(INDEX(계산표!$U:$U,$E$3)&gt;=1,IF(A33=ROUND(INDEX(계산표!$N:$N,$E$3),0),1,0),IF(INDEX(계산표!$U:$U,$E$3)&lt;=0,IF(A33=0,1,0),_xludf.BINOM.DIST(A33,ROUND(INDEX(계산표!$N:$N,$E$3),0),INDEX(계산표!$U:$U,$E$3),FALSE)))),""))</f>
        <v/>
      </c>
      <c r="F33" s="22" t="str">
        <f>IF(E33="","",INDEX(계산표!$AK:$AK,$E$3)*((ROUND(INDEX(계산표!$N:$N,$E$3),0)-A33)+A33*INDEX(계산표!$E:$E,$E$3))*INDEX(계산표!$Y:$Y,$E$3)*INDEX(계산표!$AA:$AA,$E$3)*설정!$B$25)</f>
        <v/>
      </c>
      <c r="G33" s="22" t="str">
        <f t="shared" si="1"/>
        <v/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>
      <c r="A34" s="15">
        <v>28</v>
      </c>
      <c r="B34" s="21">
        <f>IF($E$3="","",IF(A34&lt;=ROUND(INDEX(계산표!$I:$I,$E$3),0),IF(ROUND(INDEX(계산표!$I:$I,$E$3),0)&lt;=0,IF(A34=0,1,""),IF(INDEX(계산표!$T:$T,$E$3)&gt;=1,IF(A34=ROUND(INDEX(계산표!$I:$I,$E$3),0),1,0),IF(INDEX(계산표!$T:$T,$E$3)&lt;=0,IF(A34=0,1,0),_xlfn.BINOM.DIST(A34,ROUND(INDEX(계산표!$I:$I,$E$3),0),INDEX(계산표!$T:$T,$E$3),FALSE)))),""))</f>
        <v>1.3712967728518331E-6</v>
      </c>
      <c r="C34" s="22">
        <f>IF(B34="","",INDEX(계산표!$AJ:$AJ,$E$3)*((ROUND(INDEX(계산표!$I:$I,$E$3),0)-A34)+A34*INDEX(계산표!$E:$E,$E$3))*INDEX(계산표!$X:$X,$E$3)*INDEX(계산표!$Z:$Z,$E$3)*설정!$B$25)</f>
        <v>87.839003638311212</v>
      </c>
      <c r="D34" s="22">
        <f t="shared" si="0"/>
        <v>1.2045334221973659E-4</v>
      </c>
      <c r="E34" s="21" t="str">
        <f>IF($E$3="","",IF(A34&lt;=ROUND(INDEX(계산표!$N:$N,$E$3),0),IF(ROUND(INDEX(계산표!$N:$N,$E$3),0)&lt;=0,IF(A34=0,1,""),IF(INDEX(계산표!$U:$U,$E$3)&gt;=1,IF(A34=ROUND(INDEX(계산표!$N:$N,$E$3),0),1,0),IF(INDEX(계산표!$U:$U,$E$3)&lt;=0,IF(A34=0,1,0),_xludf.BINOM.DIST(A34,ROUND(INDEX(계산표!$N:$N,$E$3),0),INDEX(계산표!$U:$U,$E$3),FALSE)))),""))</f>
        <v/>
      </c>
      <c r="F34" s="22" t="str">
        <f>IF(E34="","",INDEX(계산표!$AK:$AK,$E$3)*((ROUND(INDEX(계산표!$N:$N,$E$3),0)-A34)+A34*INDEX(계산표!$E:$E,$E$3))*INDEX(계산표!$Y:$Y,$E$3)*INDEX(계산표!$AA:$AA,$E$3)*설정!$B$25)</f>
        <v/>
      </c>
      <c r="G34" s="22" t="str">
        <f t="shared" si="1"/>
        <v/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>
      <c r="A35" s="15">
        <v>29</v>
      </c>
      <c r="B35" s="21">
        <f>IF($E$3="","",IF(A35&lt;=ROUND(INDEX(계산표!$I:$I,$E$3),0),IF(ROUND(INDEX(계산표!$I:$I,$E$3),0)&lt;=0,IF(A35=0,1,""),IF(INDEX(계산표!$T:$T,$E$3)&gt;=1,IF(A35=ROUND(INDEX(계산표!$I:$I,$E$3),0),1,0),IF(INDEX(계산표!$T:$T,$E$3)&lt;=0,IF(A35=0,1,0),_xlfn.BINOM.DIST(A35,ROUND(INDEX(계산표!$I:$I,$E$3),0),INDEX(계산표!$T:$T,$E$3),FALSE)))),""))</f>
        <v>1.5836403259277793E-5</v>
      </c>
      <c r="C35" s="22">
        <f>IF(B35="","",INDEX(계산표!$AJ:$AJ,$E$3)*((ROUND(INDEX(계산표!$I:$I,$E$3),0)-A35)+A35*INDEX(계산표!$E:$E,$E$3))*INDEX(계산표!$X:$X,$E$3)*INDEX(계산표!$Z:$Z,$E$3)*설정!$B$25)</f>
        <v>89.938097475256143</v>
      </c>
      <c r="D35" s="22">
        <f t="shared" si="0"/>
        <v>1.4242959799903902E-3</v>
      </c>
      <c r="E35" s="21" t="str">
        <f>IF($E$3="","",IF(A35&lt;=ROUND(INDEX(계산표!$N:$N,$E$3),0),IF(ROUND(INDEX(계산표!$N:$N,$E$3),0)&lt;=0,IF(A35=0,1,""),IF(INDEX(계산표!$U:$U,$E$3)&gt;=1,IF(A35=ROUND(INDEX(계산표!$N:$N,$E$3),0),1,0),IF(INDEX(계산표!$U:$U,$E$3)&lt;=0,IF(A35=0,1,0),_xludf.BINOM.DIST(A35,ROUND(INDEX(계산표!$N:$N,$E$3),0),INDEX(계산표!$U:$U,$E$3),FALSE)))),""))</f>
        <v/>
      </c>
      <c r="F35" s="22" t="str">
        <f>IF(E35="","",INDEX(계산표!$AK:$AK,$E$3)*((ROUND(INDEX(계산표!$N:$N,$E$3),0)-A35)+A35*INDEX(계산표!$E:$E,$E$3))*INDEX(계산표!$Y:$Y,$E$3)*INDEX(계산표!$AA:$AA,$E$3)*설정!$B$25)</f>
        <v/>
      </c>
      <c r="G35" s="22" t="str">
        <f t="shared" si="1"/>
        <v/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>
      <c r="A36" s="15">
        <v>30</v>
      </c>
      <c r="B36" s="21">
        <f>IF($E$3="","",IF(A36&lt;=ROUND(INDEX(계산표!$I:$I,$E$3),0),IF(ROUND(INDEX(계산표!$I:$I,$E$3),0)&lt;=0,IF(A36=0,1,""),IF(INDEX(계산표!$T:$T,$E$3)&gt;=1,IF(A36=ROUND(INDEX(계산표!$I:$I,$E$3),0),1,0),IF(INDEX(계산표!$T:$T,$E$3)&lt;=0,IF(A36=0,1,0),_xlfn.BINOM.DIST(A36,ROUND(INDEX(계산표!$I:$I,$E$3),0),INDEX(계산표!$T:$T,$E$3),FALSE)))),""))</f>
        <v>1.5469149849788854E-4</v>
      </c>
      <c r="C36" s="22">
        <f>IF(B36="","",INDEX(계산표!$AJ:$AJ,$E$3)*((ROUND(INDEX(계산표!$I:$I,$E$3),0)-A36)+A36*INDEX(계산표!$E:$E,$E$3))*INDEX(계산표!$X:$X,$E$3)*INDEX(계산표!$Z:$Z,$E$3)*설정!$B$25)</f>
        <v>92.037191312201088</v>
      </c>
      <c r="D36" s="22">
        <f t="shared" si="0"/>
        <v>1.4237371041621235E-2</v>
      </c>
      <c r="E36" s="21" t="str">
        <f>IF($E$3="","",IF(A36&lt;=ROUND(INDEX(계산표!$N:$N,$E$3),0),IF(ROUND(INDEX(계산표!$N:$N,$E$3),0)&lt;=0,IF(A36=0,1,""),IF(INDEX(계산표!$U:$U,$E$3)&gt;=1,IF(A36=ROUND(INDEX(계산표!$N:$N,$E$3),0),1,0),IF(INDEX(계산표!$U:$U,$E$3)&lt;=0,IF(A36=0,1,0),_xludf.BINOM.DIST(A36,ROUND(INDEX(계산표!$N:$N,$E$3),0),INDEX(계산표!$U:$U,$E$3),FALSE)))),""))</f>
        <v/>
      </c>
      <c r="F36" s="22" t="str">
        <f>IF(E36="","",INDEX(계산표!$AK:$AK,$E$3)*((ROUND(INDEX(계산표!$N:$N,$E$3),0)-A36)+A36*INDEX(계산표!$E:$E,$E$3))*INDEX(계산표!$Y:$Y,$E$3)*INDEX(계산표!$AA:$AA,$E$3)*설정!$B$25)</f>
        <v/>
      </c>
      <c r="G36" s="22" t="str">
        <f t="shared" si="1"/>
        <v/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>
      <c r="A37" s="15">
        <v>31</v>
      </c>
      <c r="B37" s="21">
        <f>IF($E$3="","",IF(A37&lt;=ROUND(INDEX(계산표!$I:$I,$E$3),0),IF(ROUND(INDEX(계산표!$I:$I,$E$3),0)&lt;=0,IF(A37=0,1,""),IF(INDEX(계산표!$T:$T,$E$3)&gt;=1,IF(A37=ROUND(INDEX(계산표!$I:$I,$E$3),0),1,0),IF(INDEX(계산표!$T:$T,$E$3)&lt;=0,IF(A37=0,1,0),_xlfn.BINOM.DIST(A37,ROUND(INDEX(계산표!$I:$I,$E$3),0),INDEX(계산표!$T:$T,$E$3),FALSE)))),""))</f>
        <v>1.2533983311361517E-3</v>
      </c>
      <c r="C37" s="22">
        <f>IF(B37="","",INDEX(계산표!$AJ:$AJ,$E$3)*((ROUND(INDEX(계산표!$I:$I,$E$3),0)-A37)+A37*INDEX(계산표!$E:$E,$E$3))*INDEX(계산표!$X:$X,$E$3)*INDEX(계산표!$Z:$Z,$E$3)*설정!$B$25)</f>
        <v>94.136285149146033</v>
      </c>
      <c r="D37" s="22">
        <f t="shared" si="0"/>
        <v>0.11799026270529654</v>
      </c>
      <c r="E37" s="21" t="str">
        <f>IF($E$3="","",IF(A37&lt;=ROUND(INDEX(계산표!$N:$N,$E$3),0),IF(ROUND(INDEX(계산표!$N:$N,$E$3),0)&lt;=0,IF(A37=0,1,""),IF(INDEX(계산표!$U:$U,$E$3)&gt;=1,IF(A37=ROUND(INDEX(계산표!$N:$N,$E$3),0),1,0),IF(INDEX(계산표!$U:$U,$E$3)&lt;=0,IF(A37=0,1,0),_xludf.BINOM.DIST(A37,ROUND(INDEX(계산표!$N:$N,$E$3),0),INDEX(계산표!$U:$U,$E$3),FALSE)))),""))</f>
        <v/>
      </c>
      <c r="F37" s="22" t="str">
        <f>IF(E37="","",INDEX(계산표!$AK:$AK,$E$3)*((ROUND(INDEX(계산표!$N:$N,$E$3),0)-A37)+A37*INDEX(계산표!$E:$E,$E$3))*INDEX(계산표!$Y:$Y,$E$3)*INDEX(계산표!$AA:$AA,$E$3)*설정!$B$25)</f>
        <v/>
      </c>
      <c r="G37" s="22" t="str">
        <f t="shared" si="1"/>
        <v/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>
      <c r="A38" s="15">
        <v>32</v>
      </c>
      <c r="B38" s="21">
        <f>IF($E$3="","",IF(A38&lt;=ROUND(INDEX(계산표!$I:$I,$E$3),0),IF(ROUND(INDEX(계산표!$I:$I,$E$3),0)&lt;=0,IF(A38=0,1,""),IF(INDEX(계산표!$T:$T,$E$3)&gt;=1,IF(A38=ROUND(INDEX(계산표!$I:$I,$E$3),0),1,0),IF(INDEX(계산표!$T:$T,$E$3)&lt;=0,IF(A38=0,1,0),_xlfn.BINOM.DIST(A38,ROUND(INDEX(계산표!$I:$I,$E$3),0),INDEX(계산표!$T:$T,$E$3),FALSE)))),""))</f>
        <v>8.1986481198480197E-3</v>
      </c>
      <c r="C38" s="22">
        <f>IF(B38="","",INDEX(계산표!$AJ:$AJ,$E$3)*((ROUND(INDEX(계산표!$I:$I,$E$3),0)-A38)+A38*INDEX(계산표!$E:$E,$E$3))*INDEX(계산표!$X:$X,$E$3)*INDEX(계산표!$Z:$Z,$E$3)*설정!$B$25)</f>
        <v>96.235378986090979</v>
      </c>
      <c r="D38" s="22">
        <f t="shared" ref="D38:D69" si="2">IF(OR(B38="",C38=""),"",B38*C38)</f>
        <v>0.78900000898717648</v>
      </c>
      <c r="E38" s="21" t="str">
        <f>IF($E$3="","",IF(A38&lt;=ROUND(INDEX(계산표!$N:$N,$E$3),0),IF(ROUND(INDEX(계산표!$N:$N,$E$3),0)&lt;=0,IF(A38=0,1,""),IF(INDEX(계산표!$U:$U,$E$3)&gt;=1,IF(A38=ROUND(INDEX(계산표!$N:$N,$E$3),0),1,0),IF(INDEX(계산표!$U:$U,$E$3)&lt;=0,IF(A38=0,1,0),_xludf.BINOM.DIST(A38,ROUND(INDEX(계산표!$N:$N,$E$3),0),INDEX(계산표!$U:$U,$E$3),FALSE)))),""))</f>
        <v/>
      </c>
      <c r="F38" s="22" t="str">
        <f>IF(E38="","",INDEX(계산표!$AK:$AK,$E$3)*((ROUND(INDEX(계산표!$N:$N,$E$3),0)-A38)+A38*INDEX(계산표!$E:$E,$E$3))*INDEX(계산표!$Y:$Y,$E$3)*INDEX(계산표!$AA:$AA,$E$3)*설정!$B$25)</f>
        <v/>
      </c>
      <c r="G38" s="22" t="str">
        <f t="shared" ref="G38:G69" si="3">IF(OR(E38="",F38=""),"",E38*F38)</f>
        <v/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>
      <c r="A39" s="15">
        <v>33</v>
      </c>
      <c r="B39" s="21">
        <f>IF($E$3="","",IF(A39&lt;=ROUND(INDEX(계산표!$I:$I,$E$3),0),IF(ROUND(INDEX(계산표!$I:$I,$E$3),0)&lt;=0,IF(A39=0,1,""),IF(INDEX(계산표!$T:$T,$E$3)&gt;=1,IF(A39=ROUND(INDEX(계산표!$I:$I,$E$3),0),1,0),IF(INDEX(계산표!$T:$T,$E$3)&lt;=0,IF(A39=0,1,0),_xlfn.BINOM.DIST(A39,ROUND(INDEX(계산표!$I:$I,$E$3),0),INDEX(계산표!$T:$T,$E$3),FALSE)))),""))</f>
        <v>4.1602689522981059E-2</v>
      </c>
      <c r="C39" s="22">
        <f>IF(B39="","",INDEX(계산표!$AJ:$AJ,$E$3)*((ROUND(INDEX(계산표!$I:$I,$E$3),0)-A39)+A39*INDEX(계산표!$E:$E,$E$3))*INDEX(계산표!$X:$X,$E$3)*INDEX(계산표!$Z:$Z,$E$3)*설정!$B$25)</f>
        <v>98.33447282303591</v>
      </c>
      <c r="D39" s="22">
        <f t="shared" si="2"/>
        <v>4.090978542262782</v>
      </c>
      <c r="E39" s="21" t="str">
        <f>IF($E$3="","",IF(A39&lt;=ROUND(INDEX(계산표!$N:$N,$E$3),0),IF(ROUND(INDEX(계산표!$N:$N,$E$3),0)&lt;=0,IF(A39=0,1,""),IF(INDEX(계산표!$U:$U,$E$3)&gt;=1,IF(A39=ROUND(INDEX(계산표!$N:$N,$E$3),0),1,0),IF(INDEX(계산표!$U:$U,$E$3)&lt;=0,IF(A39=0,1,0),_xludf.BINOM.DIST(A39,ROUND(INDEX(계산표!$N:$N,$E$3),0),INDEX(계산표!$U:$U,$E$3),FALSE)))),""))</f>
        <v/>
      </c>
      <c r="F39" s="22" t="str">
        <f>IF(E39="","",INDEX(계산표!$AK:$AK,$E$3)*((ROUND(INDEX(계산표!$N:$N,$E$3),0)-A39)+A39*INDEX(계산표!$E:$E,$E$3))*INDEX(계산표!$Y:$Y,$E$3)*INDEX(계산표!$AA:$AA,$E$3)*설정!$B$25)</f>
        <v/>
      </c>
      <c r="G39" s="22" t="str">
        <f t="shared" si="3"/>
        <v/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>
      <c r="A40" s="15">
        <v>34</v>
      </c>
      <c r="B40" s="21">
        <f>IF($E$3="","",IF(A40&lt;=ROUND(INDEX(계산표!$I:$I,$E$3),0),IF(ROUND(INDEX(계산표!$I:$I,$E$3),0)&lt;=0,IF(A40=0,1,""),IF(INDEX(계산표!$T:$T,$E$3)&gt;=1,IF(A40=ROUND(INDEX(계산표!$I:$I,$E$3),0),1,0),IF(INDEX(계산표!$T:$T,$E$3)&lt;=0,IF(A40=0,1,0),_xlfn.BINOM.DIST(A40,ROUND(INDEX(계산표!$I:$I,$E$3),0),INDEX(계산표!$T:$T,$E$3),FALSE)))),""))</f>
        <v>0.1536727469418698</v>
      </c>
      <c r="C40" s="22">
        <f>IF(B40="","",INDEX(계산표!$AJ:$AJ,$E$3)*((ROUND(INDEX(계산표!$I:$I,$E$3),0)-A40)+A40*INDEX(계산표!$E:$E,$E$3))*INDEX(계산표!$X:$X,$E$3)*INDEX(계산표!$Z:$Z,$E$3)*설정!$B$25)</f>
        <v>100.43356665998085</v>
      </c>
      <c r="D40" s="22">
        <f t="shared" si="2"/>
        <v>15.43390207380865</v>
      </c>
      <c r="E40" s="21" t="str">
        <f>IF($E$3="","",IF(A40&lt;=ROUND(INDEX(계산표!$N:$N,$E$3),0),IF(ROUND(INDEX(계산표!$N:$N,$E$3),0)&lt;=0,IF(A40=0,1,""),IF(INDEX(계산표!$U:$U,$E$3)&gt;=1,IF(A40=ROUND(INDEX(계산표!$N:$N,$E$3),0),1,0),IF(INDEX(계산표!$U:$U,$E$3)&lt;=0,IF(A40=0,1,0),_xludf.BINOM.DIST(A40,ROUND(INDEX(계산표!$N:$N,$E$3),0),INDEX(계산표!$U:$U,$E$3),FALSE)))),""))</f>
        <v/>
      </c>
      <c r="F40" s="22" t="str">
        <f>IF(E40="","",INDEX(계산표!$AK:$AK,$E$3)*((ROUND(INDEX(계산표!$N:$N,$E$3),0)-A40)+A40*INDEX(계산표!$E:$E,$E$3))*INDEX(계산표!$Y:$Y,$E$3)*INDEX(계산표!$AA:$AA,$E$3)*설정!$B$25)</f>
        <v/>
      </c>
      <c r="G40" s="22" t="str">
        <f t="shared" si="3"/>
        <v/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>
      <c r="A41" s="15">
        <v>35</v>
      </c>
      <c r="B41" s="21">
        <f>IF($E$3="","",IF(A41&lt;=ROUND(INDEX(계산표!$I:$I,$E$3),0),IF(ROUND(INDEX(계산표!$I:$I,$E$3),0)&lt;=0,IF(A41=0,1,""),IF(INDEX(계산표!$T:$T,$E$3)&gt;=1,IF(A41=ROUND(INDEX(계산표!$I:$I,$E$3),0),1,0),IF(INDEX(계산표!$T:$T,$E$3)&lt;=0,IF(A41=0,1,0),_xlfn.BINOM.DIST(A41,ROUND(INDEX(계산표!$I:$I,$E$3),0),INDEX(계산표!$T:$T,$E$3),FALSE)))),""))</f>
        <v>0.36761389199857025</v>
      </c>
      <c r="C41" s="22">
        <f>IF(B41="","",INDEX(계산표!$AJ:$AJ,$E$3)*((ROUND(INDEX(계산표!$I:$I,$E$3),0)-A41)+A41*INDEX(계산표!$E:$E,$E$3))*INDEX(계산표!$X:$X,$E$3)*INDEX(계산표!$Z:$Z,$E$3)*설정!$B$25)</f>
        <v>102.53266049692577</v>
      </c>
      <c r="D41" s="22">
        <f t="shared" si="2"/>
        <v>37.692430382242939</v>
      </c>
      <c r="E41" s="21" t="str">
        <f>IF($E$3="","",IF(A41&lt;=ROUND(INDEX(계산표!$N:$N,$E$3),0),IF(ROUND(INDEX(계산표!$N:$N,$E$3),0)&lt;=0,IF(A41=0,1,""),IF(INDEX(계산표!$U:$U,$E$3)&gt;=1,IF(A41=ROUND(INDEX(계산표!$N:$N,$E$3),0),1,0),IF(INDEX(계산표!$U:$U,$E$3)&lt;=0,IF(A41=0,1,0),_xludf.BINOM.DIST(A41,ROUND(INDEX(계산표!$N:$N,$E$3),0),INDEX(계산표!$U:$U,$E$3),FALSE)))),""))</f>
        <v/>
      </c>
      <c r="F41" s="22" t="str">
        <f>IF(E41="","",INDEX(계산표!$AK:$AK,$E$3)*((ROUND(INDEX(계산표!$N:$N,$E$3),0)-A41)+A41*INDEX(계산표!$E:$E,$E$3))*INDEX(계산표!$Y:$Y,$E$3)*INDEX(계산표!$AA:$AA,$E$3)*설정!$B$25)</f>
        <v/>
      </c>
      <c r="G41" s="22" t="str">
        <f t="shared" si="3"/>
        <v/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>
      <c r="A42" s="15">
        <v>36</v>
      </c>
      <c r="B42" s="21">
        <f>IF($E$3="","",IF(A42&lt;=ROUND(INDEX(계산표!$I:$I,$E$3),0),IF(ROUND(INDEX(계산표!$I:$I,$E$3),0)&lt;=0,IF(A42=0,1,""),IF(INDEX(계산표!$T:$T,$E$3)&gt;=1,IF(A42=ROUND(INDEX(계산표!$I:$I,$E$3),0),1,0),IF(INDEX(계산표!$T:$T,$E$3)&lt;=0,IF(A42=0,1,0),_xlfn.BINOM.DIST(A42,ROUND(INDEX(계산표!$I:$I,$E$3),0),INDEX(계산표!$T:$T,$E$3),FALSE)))),""))</f>
        <v>0.42748661701462615</v>
      </c>
      <c r="C42" s="22">
        <f>IF(B42="","",INDEX(계산표!$AJ:$AJ,$E$3)*((ROUND(INDEX(계산표!$I:$I,$E$3),0)-A42)+A42*INDEX(계산표!$E:$E,$E$3))*INDEX(계산표!$X:$X,$E$3)*INDEX(계산표!$Z:$Z,$E$3)*설정!$B$25)</f>
        <v>104.63175433387072</v>
      </c>
      <c r="D42" s="22">
        <f t="shared" si="2"/>
        <v>44.728674692491843</v>
      </c>
      <c r="E42" s="21" t="str">
        <f>IF($E$3="","",IF(A42&lt;=ROUND(INDEX(계산표!$N:$N,$E$3),0),IF(ROUND(INDEX(계산표!$N:$N,$E$3),0)&lt;=0,IF(A42=0,1,""),IF(INDEX(계산표!$U:$U,$E$3)&gt;=1,IF(A42=ROUND(INDEX(계산표!$N:$N,$E$3),0),1,0),IF(INDEX(계산표!$U:$U,$E$3)&lt;=0,IF(A42=0,1,0),_xludf.BINOM.DIST(A42,ROUND(INDEX(계산표!$N:$N,$E$3),0),INDEX(계산표!$U:$U,$E$3),FALSE)))),""))</f>
        <v/>
      </c>
      <c r="F42" s="22" t="str">
        <f>IF(E42="","",INDEX(계산표!$AK:$AK,$E$3)*((ROUND(INDEX(계산표!$N:$N,$E$3),0)-A42)+A42*INDEX(계산표!$E:$E,$E$3))*INDEX(계산표!$Y:$Y,$E$3)*INDEX(계산표!$AA:$AA,$E$3)*설정!$B$25)</f>
        <v/>
      </c>
      <c r="G42" s="22" t="str">
        <f t="shared" si="3"/>
        <v/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>
      <c r="A43" s="15">
        <v>37</v>
      </c>
      <c r="B43" s="21" t="str">
        <f>IF($E$3="","",IF(A43&lt;=ROUND(INDEX(계산표!$I:$I,$E$3),0),IF(ROUND(INDEX(계산표!$I:$I,$E$3),0)&lt;=0,IF(A43=0,1,""),IF(INDEX(계산표!$T:$T,$E$3)&gt;=1,IF(A43=ROUND(INDEX(계산표!$I:$I,$E$3),0),1,0),IF(INDEX(계산표!$T:$T,$E$3)&lt;=0,IF(A43=0,1,0),_xlfn.BINOM.DIST(A43,ROUND(INDEX(계산표!$I:$I,$E$3),0),INDEX(계산표!$T:$T,$E$3),FALSE)))),""))</f>
        <v/>
      </c>
      <c r="C43" s="22" t="str">
        <f>IF(B43="","",INDEX(계산표!$AJ:$AJ,$E$3)*((ROUND(INDEX(계산표!$I:$I,$E$3),0)-A43)+A43*INDEX(계산표!$E:$E,$E$3))*INDEX(계산표!$X:$X,$E$3)*INDEX(계산표!$Z:$Z,$E$3)*설정!$B$25)</f>
        <v/>
      </c>
      <c r="D43" s="22" t="str">
        <f t="shared" si="2"/>
        <v/>
      </c>
      <c r="E43" s="21" t="str">
        <f>IF($E$3="","",IF(A43&lt;=ROUND(INDEX(계산표!$N:$N,$E$3),0),IF(ROUND(INDEX(계산표!$N:$N,$E$3),0)&lt;=0,IF(A43=0,1,""),IF(INDEX(계산표!$U:$U,$E$3)&gt;=1,IF(A43=ROUND(INDEX(계산표!$N:$N,$E$3),0),1,0),IF(INDEX(계산표!$U:$U,$E$3)&lt;=0,IF(A43=0,1,0),_xludf.BINOM.DIST(A43,ROUND(INDEX(계산표!$N:$N,$E$3),0),INDEX(계산표!$U:$U,$E$3),FALSE)))),""))</f>
        <v/>
      </c>
      <c r="F43" s="22" t="str">
        <f>IF(E43="","",INDEX(계산표!$AK:$AK,$E$3)*((ROUND(INDEX(계산표!$N:$N,$E$3),0)-A43)+A43*INDEX(계산표!$E:$E,$E$3))*INDEX(계산표!$Y:$Y,$E$3)*INDEX(계산표!$AA:$AA,$E$3)*설정!$B$25)</f>
        <v/>
      </c>
      <c r="G43" s="22" t="str">
        <f t="shared" si="3"/>
        <v/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>
      <c r="A44" s="15">
        <v>38</v>
      </c>
      <c r="B44" s="21" t="str">
        <f>IF($E$3="","",IF(A44&lt;=ROUND(INDEX(계산표!$I:$I,$E$3),0),IF(ROUND(INDEX(계산표!$I:$I,$E$3),0)&lt;=0,IF(A44=0,1,""),IF(INDEX(계산표!$T:$T,$E$3)&gt;=1,IF(A44=ROUND(INDEX(계산표!$I:$I,$E$3),0),1,0),IF(INDEX(계산표!$T:$T,$E$3)&lt;=0,IF(A44=0,1,0),_xlfn.BINOM.DIST(A44,ROUND(INDEX(계산표!$I:$I,$E$3),0),INDEX(계산표!$T:$T,$E$3),FALSE)))),""))</f>
        <v/>
      </c>
      <c r="C44" s="22" t="str">
        <f>IF(B44="","",INDEX(계산표!$AJ:$AJ,$E$3)*((ROUND(INDEX(계산표!$I:$I,$E$3),0)-A44)+A44*INDEX(계산표!$E:$E,$E$3))*INDEX(계산표!$X:$X,$E$3)*INDEX(계산표!$Z:$Z,$E$3)*설정!$B$25)</f>
        <v/>
      </c>
      <c r="D44" s="22" t="str">
        <f t="shared" si="2"/>
        <v/>
      </c>
      <c r="E44" s="21" t="str">
        <f>IF($E$3="","",IF(A44&lt;=ROUND(INDEX(계산표!$N:$N,$E$3),0),IF(ROUND(INDEX(계산표!$N:$N,$E$3),0)&lt;=0,IF(A44=0,1,""),IF(INDEX(계산표!$U:$U,$E$3)&gt;=1,IF(A44=ROUND(INDEX(계산표!$N:$N,$E$3),0),1,0),IF(INDEX(계산표!$U:$U,$E$3)&lt;=0,IF(A44=0,1,0),_xludf.BINOM.DIST(A44,ROUND(INDEX(계산표!$N:$N,$E$3),0),INDEX(계산표!$U:$U,$E$3),FALSE)))),""))</f>
        <v/>
      </c>
      <c r="F44" s="22" t="str">
        <f>IF(E44="","",INDEX(계산표!$AK:$AK,$E$3)*((ROUND(INDEX(계산표!$N:$N,$E$3),0)-A44)+A44*INDEX(계산표!$E:$E,$E$3))*INDEX(계산표!$Y:$Y,$E$3)*INDEX(계산표!$AA:$AA,$E$3)*설정!$B$25)</f>
        <v/>
      </c>
      <c r="G44" s="22" t="str">
        <f t="shared" si="3"/>
        <v/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>
      <c r="A45" s="15">
        <v>39</v>
      </c>
      <c r="B45" s="21" t="str">
        <f>IF($E$3="","",IF(A45&lt;=ROUND(INDEX(계산표!$I:$I,$E$3),0),IF(ROUND(INDEX(계산표!$I:$I,$E$3),0)&lt;=0,IF(A45=0,1,""),IF(INDEX(계산표!$T:$T,$E$3)&gt;=1,IF(A45=ROUND(INDEX(계산표!$I:$I,$E$3),0),1,0),IF(INDEX(계산표!$T:$T,$E$3)&lt;=0,IF(A45=0,1,0),_xlfn.BINOM.DIST(A45,ROUND(INDEX(계산표!$I:$I,$E$3),0),INDEX(계산표!$T:$T,$E$3),FALSE)))),""))</f>
        <v/>
      </c>
      <c r="C45" s="22" t="str">
        <f>IF(B45="","",INDEX(계산표!$AJ:$AJ,$E$3)*((ROUND(INDEX(계산표!$I:$I,$E$3),0)-A45)+A45*INDEX(계산표!$E:$E,$E$3))*INDEX(계산표!$X:$X,$E$3)*INDEX(계산표!$Z:$Z,$E$3)*설정!$B$25)</f>
        <v/>
      </c>
      <c r="D45" s="22" t="str">
        <f t="shared" si="2"/>
        <v/>
      </c>
      <c r="E45" s="21" t="str">
        <f>IF($E$3="","",IF(A45&lt;=ROUND(INDEX(계산표!$N:$N,$E$3),0),IF(ROUND(INDEX(계산표!$N:$N,$E$3),0)&lt;=0,IF(A45=0,1,""),IF(INDEX(계산표!$U:$U,$E$3)&gt;=1,IF(A45=ROUND(INDEX(계산표!$N:$N,$E$3),0),1,0),IF(INDEX(계산표!$U:$U,$E$3)&lt;=0,IF(A45=0,1,0),_xludf.BINOM.DIST(A45,ROUND(INDEX(계산표!$N:$N,$E$3),0),INDEX(계산표!$U:$U,$E$3),FALSE)))),""))</f>
        <v/>
      </c>
      <c r="F45" s="22" t="str">
        <f>IF(E45="","",INDEX(계산표!$AK:$AK,$E$3)*((ROUND(INDEX(계산표!$N:$N,$E$3),0)-A45)+A45*INDEX(계산표!$E:$E,$E$3))*INDEX(계산표!$Y:$Y,$E$3)*INDEX(계산표!$AA:$AA,$E$3)*설정!$B$25)</f>
        <v/>
      </c>
      <c r="G45" s="22" t="str">
        <f t="shared" si="3"/>
        <v/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>
      <c r="A46" s="15">
        <v>40</v>
      </c>
      <c r="B46" s="21" t="str">
        <f>IF($E$3="","",IF(A46&lt;=ROUND(INDEX(계산표!$I:$I,$E$3),0),IF(ROUND(INDEX(계산표!$I:$I,$E$3),0)&lt;=0,IF(A46=0,1,""),IF(INDEX(계산표!$T:$T,$E$3)&gt;=1,IF(A46=ROUND(INDEX(계산표!$I:$I,$E$3),0),1,0),IF(INDEX(계산표!$T:$T,$E$3)&lt;=0,IF(A46=0,1,0),_xlfn.BINOM.DIST(A46,ROUND(INDEX(계산표!$I:$I,$E$3),0),INDEX(계산표!$T:$T,$E$3),FALSE)))),""))</f>
        <v/>
      </c>
      <c r="C46" s="22" t="str">
        <f>IF(B46="","",INDEX(계산표!$AJ:$AJ,$E$3)*((ROUND(INDEX(계산표!$I:$I,$E$3),0)-A46)+A46*INDEX(계산표!$E:$E,$E$3))*INDEX(계산표!$X:$X,$E$3)*INDEX(계산표!$Z:$Z,$E$3)*설정!$B$25)</f>
        <v/>
      </c>
      <c r="D46" s="22" t="str">
        <f t="shared" si="2"/>
        <v/>
      </c>
      <c r="E46" s="21" t="str">
        <f>IF($E$3="","",IF(A46&lt;=ROUND(INDEX(계산표!$N:$N,$E$3),0),IF(ROUND(INDEX(계산표!$N:$N,$E$3),0)&lt;=0,IF(A46=0,1,""),IF(INDEX(계산표!$U:$U,$E$3)&gt;=1,IF(A46=ROUND(INDEX(계산표!$N:$N,$E$3),0),1,0),IF(INDEX(계산표!$U:$U,$E$3)&lt;=0,IF(A46=0,1,0),_xludf.BINOM.DIST(A46,ROUND(INDEX(계산표!$N:$N,$E$3),0),INDEX(계산표!$U:$U,$E$3),FALSE)))),""))</f>
        <v/>
      </c>
      <c r="F46" s="22" t="str">
        <f>IF(E46="","",INDEX(계산표!$AK:$AK,$E$3)*((ROUND(INDEX(계산표!$N:$N,$E$3),0)-A46)+A46*INDEX(계산표!$E:$E,$E$3))*INDEX(계산표!$Y:$Y,$E$3)*INDEX(계산표!$AA:$AA,$E$3)*설정!$B$25)</f>
        <v/>
      </c>
      <c r="G46" s="22" t="str">
        <f t="shared" si="3"/>
        <v/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>
      <c r="A47" s="15">
        <v>41</v>
      </c>
      <c r="B47" s="21" t="str">
        <f>IF($E$3="","",IF(A47&lt;=ROUND(INDEX(계산표!$I:$I,$E$3),0),IF(ROUND(INDEX(계산표!$I:$I,$E$3),0)&lt;=0,IF(A47=0,1,""),IF(INDEX(계산표!$T:$T,$E$3)&gt;=1,IF(A47=ROUND(INDEX(계산표!$I:$I,$E$3),0),1,0),IF(INDEX(계산표!$T:$T,$E$3)&lt;=0,IF(A47=0,1,0),_xlfn.BINOM.DIST(A47,ROUND(INDEX(계산표!$I:$I,$E$3),0),INDEX(계산표!$T:$T,$E$3),FALSE)))),""))</f>
        <v/>
      </c>
      <c r="C47" s="22" t="str">
        <f>IF(B47="","",INDEX(계산표!$AJ:$AJ,$E$3)*((ROUND(INDEX(계산표!$I:$I,$E$3),0)-A47)+A47*INDEX(계산표!$E:$E,$E$3))*INDEX(계산표!$X:$X,$E$3)*INDEX(계산표!$Z:$Z,$E$3)*설정!$B$25)</f>
        <v/>
      </c>
      <c r="D47" s="22" t="str">
        <f t="shared" si="2"/>
        <v/>
      </c>
      <c r="E47" s="21" t="str">
        <f>IF($E$3="","",IF(A47&lt;=ROUND(INDEX(계산표!$N:$N,$E$3),0),IF(ROUND(INDEX(계산표!$N:$N,$E$3),0)&lt;=0,IF(A47=0,1,""),IF(INDEX(계산표!$U:$U,$E$3)&gt;=1,IF(A47=ROUND(INDEX(계산표!$N:$N,$E$3),0),1,0),IF(INDEX(계산표!$U:$U,$E$3)&lt;=0,IF(A47=0,1,0),_xludf.BINOM.DIST(A47,ROUND(INDEX(계산표!$N:$N,$E$3),0),INDEX(계산표!$U:$U,$E$3),FALSE)))),""))</f>
        <v/>
      </c>
      <c r="F47" s="22" t="str">
        <f>IF(E47="","",INDEX(계산표!$AK:$AK,$E$3)*((ROUND(INDEX(계산표!$N:$N,$E$3),0)-A47)+A47*INDEX(계산표!$E:$E,$E$3))*INDEX(계산표!$Y:$Y,$E$3)*INDEX(계산표!$AA:$AA,$E$3)*설정!$B$25)</f>
        <v/>
      </c>
      <c r="G47" s="22" t="str">
        <f t="shared" si="3"/>
        <v/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>
      <c r="A48" s="15">
        <v>42</v>
      </c>
      <c r="B48" s="21" t="str">
        <f>IF($E$3="","",IF(A48&lt;=ROUND(INDEX(계산표!$I:$I,$E$3),0),IF(ROUND(INDEX(계산표!$I:$I,$E$3),0)&lt;=0,IF(A48=0,1,""),IF(INDEX(계산표!$T:$T,$E$3)&gt;=1,IF(A48=ROUND(INDEX(계산표!$I:$I,$E$3),0),1,0),IF(INDEX(계산표!$T:$T,$E$3)&lt;=0,IF(A48=0,1,0),_xlfn.BINOM.DIST(A48,ROUND(INDEX(계산표!$I:$I,$E$3),0),INDEX(계산표!$T:$T,$E$3),FALSE)))),""))</f>
        <v/>
      </c>
      <c r="C48" s="22" t="str">
        <f>IF(B48="","",INDEX(계산표!$AJ:$AJ,$E$3)*((ROUND(INDEX(계산표!$I:$I,$E$3),0)-A48)+A48*INDEX(계산표!$E:$E,$E$3))*INDEX(계산표!$X:$X,$E$3)*INDEX(계산표!$Z:$Z,$E$3)*설정!$B$25)</f>
        <v/>
      </c>
      <c r="D48" s="22" t="str">
        <f t="shared" si="2"/>
        <v/>
      </c>
      <c r="E48" s="21" t="str">
        <f>IF($E$3="","",IF(A48&lt;=ROUND(INDEX(계산표!$N:$N,$E$3),0),IF(ROUND(INDEX(계산표!$N:$N,$E$3),0)&lt;=0,IF(A48=0,1,""),IF(INDEX(계산표!$U:$U,$E$3)&gt;=1,IF(A48=ROUND(INDEX(계산표!$N:$N,$E$3),0),1,0),IF(INDEX(계산표!$U:$U,$E$3)&lt;=0,IF(A48=0,1,0),_xludf.BINOM.DIST(A48,ROUND(INDEX(계산표!$N:$N,$E$3),0),INDEX(계산표!$U:$U,$E$3),FALSE)))),""))</f>
        <v/>
      </c>
      <c r="F48" s="22" t="str">
        <f>IF(E48="","",INDEX(계산표!$AK:$AK,$E$3)*((ROUND(INDEX(계산표!$N:$N,$E$3),0)-A48)+A48*INDEX(계산표!$E:$E,$E$3))*INDEX(계산표!$Y:$Y,$E$3)*INDEX(계산표!$AA:$AA,$E$3)*설정!$B$25)</f>
        <v/>
      </c>
      <c r="G48" s="22" t="str">
        <f t="shared" si="3"/>
        <v/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>
      <c r="A49" s="15">
        <v>43</v>
      </c>
      <c r="B49" s="21" t="str">
        <f>IF($E$3="","",IF(A49&lt;=ROUND(INDEX(계산표!$I:$I,$E$3),0),IF(ROUND(INDEX(계산표!$I:$I,$E$3),0)&lt;=0,IF(A49=0,1,""),IF(INDEX(계산표!$T:$T,$E$3)&gt;=1,IF(A49=ROUND(INDEX(계산표!$I:$I,$E$3),0),1,0),IF(INDEX(계산표!$T:$T,$E$3)&lt;=0,IF(A49=0,1,0),_xlfn.BINOM.DIST(A49,ROUND(INDEX(계산표!$I:$I,$E$3),0),INDEX(계산표!$T:$T,$E$3),FALSE)))),""))</f>
        <v/>
      </c>
      <c r="C49" s="22" t="str">
        <f>IF(B49="","",INDEX(계산표!$AJ:$AJ,$E$3)*((ROUND(INDEX(계산표!$I:$I,$E$3),0)-A49)+A49*INDEX(계산표!$E:$E,$E$3))*INDEX(계산표!$X:$X,$E$3)*INDEX(계산표!$Z:$Z,$E$3)*설정!$B$25)</f>
        <v/>
      </c>
      <c r="D49" s="22" t="str">
        <f t="shared" si="2"/>
        <v/>
      </c>
      <c r="E49" s="21" t="str">
        <f>IF($E$3="","",IF(A49&lt;=ROUND(INDEX(계산표!$N:$N,$E$3),0),IF(ROUND(INDEX(계산표!$N:$N,$E$3),0)&lt;=0,IF(A49=0,1,""),IF(INDEX(계산표!$U:$U,$E$3)&gt;=1,IF(A49=ROUND(INDEX(계산표!$N:$N,$E$3),0),1,0),IF(INDEX(계산표!$U:$U,$E$3)&lt;=0,IF(A49=0,1,0),_xludf.BINOM.DIST(A49,ROUND(INDEX(계산표!$N:$N,$E$3),0),INDEX(계산표!$U:$U,$E$3),FALSE)))),""))</f>
        <v/>
      </c>
      <c r="F49" s="22" t="str">
        <f>IF(E49="","",INDEX(계산표!$AK:$AK,$E$3)*((ROUND(INDEX(계산표!$N:$N,$E$3),0)-A49)+A49*INDEX(계산표!$E:$E,$E$3))*INDEX(계산표!$Y:$Y,$E$3)*INDEX(계산표!$AA:$AA,$E$3)*설정!$B$25)</f>
        <v/>
      </c>
      <c r="G49" s="22" t="str">
        <f t="shared" si="3"/>
        <v/>
      </c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>
      <c r="A50" s="15">
        <v>44</v>
      </c>
      <c r="B50" s="21" t="str">
        <f>IF($E$3="","",IF(A50&lt;=ROUND(INDEX(계산표!$I:$I,$E$3),0),IF(ROUND(INDEX(계산표!$I:$I,$E$3),0)&lt;=0,IF(A50=0,1,""),IF(INDEX(계산표!$T:$T,$E$3)&gt;=1,IF(A50=ROUND(INDEX(계산표!$I:$I,$E$3),0),1,0),IF(INDEX(계산표!$T:$T,$E$3)&lt;=0,IF(A50=0,1,0),_xlfn.BINOM.DIST(A50,ROUND(INDEX(계산표!$I:$I,$E$3),0),INDEX(계산표!$T:$T,$E$3),FALSE)))),""))</f>
        <v/>
      </c>
      <c r="C50" s="22" t="str">
        <f>IF(B50="","",INDEX(계산표!$AJ:$AJ,$E$3)*((ROUND(INDEX(계산표!$I:$I,$E$3),0)-A50)+A50*INDEX(계산표!$E:$E,$E$3))*INDEX(계산표!$X:$X,$E$3)*INDEX(계산표!$Z:$Z,$E$3)*설정!$B$25)</f>
        <v/>
      </c>
      <c r="D50" s="22" t="str">
        <f t="shared" si="2"/>
        <v/>
      </c>
      <c r="E50" s="21" t="str">
        <f>IF($E$3="","",IF(A50&lt;=ROUND(INDEX(계산표!$N:$N,$E$3),0),IF(ROUND(INDEX(계산표!$N:$N,$E$3),0)&lt;=0,IF(A50=0,1,""),IF(INDEX(계산표!$U:$U,$E$3)&gt;=1,IF(A50=ROUND(INDEX(계산표!$N:$N,$E$3),0),1,0),IF(INDEX(계산표!$U:$U,$E$3)&lt;=0,IF(A50=0,1,0),_xludf.BINOM.DIST(A50,ROUND(INDEX(계산표!$N:$N,$E$3),0),INDEX(계산표!$U:$U,$E$3),FALSE)))),""))</f>
        <v/>
      </c>
      <c r="F50" s="22" t="str">
        <f>IF(E50="","",INDEX(계산표!$AK:$AK,$E$3)*((ROUND(INDEX(계산표!$N:$N,$E$3),0)-A50)+A50*INDEX(계산표!$E:$E,$E$3))*INDEX(계산표!$Y:$Y,$E$3)*INDEX(계산표!$AA:$AA,$E$3)*설정!$B$25)</f>
        <v/>
      </c>
      <c r="G50" s="22" t="str">
        <f t="shared" si="3"/>
        <v/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>
      <c r="A51" s="15">
        <v>45</v>
      </c>
      <c r="B51" s="21" t="str">
        <f>IF($E$3="","",IF(A51&lt;=ROUND(INDEX(계산표!$I:$I,$E$3),0),IF(ROUND(INDEX(계산표!$I:$I,$E$3),0)&lt;=0,IF(A51=0,1,""),IF(INDEX(계산표!$T:$T,$E$3)&gt;=1,IF(A51=ROUND(INDEX(계산표!$I:$I,$E$3),0),1,0),IF(INDEX(계산표!$T:$T,$E$3)&lt;=0,IF(A51=0,1,0),_xlfn.BINOM.DIST(A51,ROUND(INDEX(계산표!$I:$I,$E$3),0),INDEX(계산표!$T:$T,$E$3),FALSE)))),""))</f>
        <v/>
      </c>
      <c r="C51" s="22" t="str">
        <f>IF(B51="","",INDEX(계산표!$AJ:$AJ,$E$3)*((ROUND(INDEX(계산표!$I:$I,$E$3),0)-A51)+A51*INDEX(계산표!$E:$E,$E$3))*INDEX(계산표!$X:$X,$E$3)*INDEX(계산표!$Z:$Z,$E$3)*설정!$B$25)</f>
        <v/>
      </c>
      <c r="D51" s="22" t="str">
        <f t="shared" si="2"/>
        <v/>
      </c>
      <c r="E51" s="21" t="str">
        <f>IF($E$3="","",IF(A51&lt;=ROUND(INDEX(계산표!$N:$N,$E$3),0),IF(ROUND(INDEX(계산표!$N:$N,$E$3),0)&lt;=0,IF(A51=0,1,""),IF(INDEX(계산표!$U:$U,$E$3)&gt;=1,IF(A51=ROUND(INDEX(계산표!$N:$N,$E$3),0),1,0),IF(INDEX(계산표!$U:$U,$E$3)&lt;=0,IF(A51=0,1,0),_xludf.BINOM.DIST(A51,ROUND(INDEX(계산표!$N:$N,$E$3),0),INDEX(계산표!$U:$U,$E$3),FALSE)))),""))</f>
        <v/>
      </c>
      <c r="F51" s="22" t="str">
        <f>IF(E51="","",INDEX(계산표!$AK:$AK,$E$3)*((ROUND(INDEX(계산표!$N:$N,$E$3),0)-A51)+A51*INDEX(계산표!$E:$E,$E$3))*INDEX(계산표!$Y:$Y,$E$3)*INDEX(계산표!$AA:$AA,$E$3)*설정!$B$25)</f>
        <v/>
      </c>
      <c r="G51" s="22" t="str">
        <f t="shared" si="3"/>
        <v/>
      </c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>
      <c r="A52" s="15">
        <v>46</v>
      </c>
      <c r="B52" s="21" t="str">
        <f>IF($E$3="","",IF(A52&lt;=ROUND(INDEX(계산표!$I:$I,$E$3),0),IF(ROUND(INDEX(계산표!$I:$I,$E$3),0)&lt;=0,IF(A52=0,1,""),IF(INDEX(계산표!$T:$T,$E$3)&gt;=1,IF(A52=ROUND(INDEX(계산표!$I:$I,$E$3),0),1,0),IF(INDEX(계산표!$T:$T,$E$3)&lt;=0,IF(A52=0,1,0),_xlfn.BINOM.DIST(A52,ROUND(INDEX(계산표!$I:$I,$E$3),0),INDEX(계산표!$T:$T,$E$3),FALSE)))),""))</f>
        <v/>
      </c>
      <c r="C52" s="22" t="str">
        <f>IF(B52="","",INDEX(계산표!$AJ:$AJ,$E$3)*((ROUND(INDEX(계산표!$I:$I,$E$3),0)-A52)+A52*INDEX(계산표!$E:$E,$E$3))*INDEX(계산표!$X:$X,$E$3)*INDEX(계산표!$Z:$Z,$E$3)*설정!$B$25)</f>
        <v/>
      </c>
      <c r="D52" s="22" t="str">
        <f t="shared" si="2"/>
        <v/>
      </c>
      <c r="E52" s="21" t="str">
        <f>IF($E$3="","",IF(A52&lt;=ROUND(INDEX(계산표!$N:$N,$E$3),0),IF(ROUND(INDEX(계산표!$N:$N,$E$3),0)&lt;=0,IF(A52=0,1,""),IF(INDEX(계산표!$U:$U,$E$3)&gt;=1,IF(A52=ROUND(INDEX(계산표!$N:$N,$E$3),0),1,0),IF(INDEX(계산표!$U:$U,$E$3)&lt;=0,IF(A52=0,1,0),_xludf.BINOM.DIST(A52,ROUND(INDEX(계산표!$N:$N,$E$3),0),INDEX(계산표!$U:$U,$E$3),FALSE)))),""))</f>
        <v/>
      </c>
      <c r="F52" s="22" t="str">
        <f>IF(E52="","",INDEX(계산표!$AK:$AK,$E$3)*((ROUND(INDEX(계산표!$N:$N,$E$3),0)-A52)+A52*INDEX(계산표!$E:$E,$E$3))*INDEX(계산표!$Y:$Y,$E$3)*INDEX(계산표!$AA:$AA,$E$3)*설정!$B$25)</f>
        <v/>
      </c>
      <c r="G52" s="22" t="str">
        <f t="shared" si="3"/>
        <v/>
      </c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>
      <c r="A53" s="15">
        <v>47</v>
      </c>
      <c r="B53" s="21" t="str">
        <f>IF($E$3="","",IF(A53&lt;=ROUND(INDEX(계산표!$I:$I,$E$3),0),IF(ROUND(INDEX(계산표!$I:$I,$E$3),0)&lt;=0,IF(A53=0,1,""),IF(INDEX(계산표!$T:$T,$E$3)&gt;=1,IF(A53=ROUND(INDEX(계산표!$I:$I,$E$3),0),1,0),IF(INDEX(계산표!$T:$T,$E$3)&lt;=0,IF(A53=0,1,0),_xlfn.BINOM.DIST(A53,ROUND(INDEX(계산표!$I:$I,$E$3),0),INDEX(계산표!$T:$T,$E$3),FALSE)))),""))</f>
        <v/>
      </c>
      <c r="C53" s="22" t="str">
        <f>IF(B53="","",INDEX(계산표!$AJ:$AJ,$E$3)*((ROUND(INDEX(계산표!$I:$I,$E$3),0)-A53)+A53*INDEX(계산표!$E:$E,$E$3))*INDEX(계산표!$X:$X,$E$3)*INDEX(계산표!$Z:$Z,$E$3)*설정!$B$25)</f>
        <v/>
      </c>
      <c r="D53" s="22" t="str">
        <f t="shared" si="2"/>
        <v/>
      </c>
      <c r="E53" s="21" t="str">
        <f>IF($E$3="","",IF(A53&lt;=ROUND(INDEX(계산표!$N:$N,$E$3),0),IF(ROUND(INDEX(계산표!$N:$N,$E$3),0)&lt;=0,IF(A53=0,1,""),IF(INDEX(계산표!$U:$U,$E$3)&gt;=1,IF(A53=ROUND(INDEX(계산표!$N:$N,$E$3),0),1,0),IF(INDEX(계산표!$U:$U,$E$3)&lt;=0,IF(A53=0,1,0),_xludf.BINOM.DIST(A53,ROUND(INDEX(계산표!$N:$N,$E$3),0),INDEX(계산표!$U:$U,$E$3),FALSE)))),""))</f>
        <v/>
      </c>
      <c r="F53" s="22" t="str">
        <f>IF(E53="","",INDEX(계산표!$AK:$AK,$E$3)*((ROUND(INDEX(계산표!$N:$N,$E$3),0)-A53)+A53*INDEX(계산표!$E:$E,$E$3))*INDEX(계산표!$Y:$Y,$E$3)*INDEX(계산표!$AA:$AA,$E$3)*설정!$B$25)</f>
        <v/>
      </c>
      <c r="G53" s="22" t="str">
        <f t="shared" si="3"/>
        <v/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>
      <c r="A54" s="15">
        <v>48</v>
      </c>
      <c r="B54" s="21" t="str">
        <f>IF($E$3="","",IF(A54&lt;=ROUND(INDEX(계산표!$I:$I,$E$3),0),IF(ROUND(INDEX(계산표!$I:$I,$E$3),0)&lt;=0,IF(A54=0,1,""),IF(INDEX(계산표!$T:$T,$E$3)&gt;=1,IF(A54=ROUND(INDEX(계산표!$I:$I,$E$3),0),1,0),IF(INDEX(계산표!$T:$T,$E$3)&lt;=0,IF(A54=0,1,0),_xlfn.BINOM.DIST(A54,ROUND(INDEX(계산표!$I:$I,$E$3),0),INDEX(계산표!$T:$T,$E$3),FALSE)))),""))</f>
        <v/>
      </c>
      <c r="C54" s="22" t="str">
        <f>IF(B54="","",INDEX(계산표!$AJ:$AJ,$E$3)*((ROUND(INDEX(계산표!$I:$I,$E$3),0)-A54)+A54*INDEX(계산표!$E:$E,$E$3))*INDEX(계산표!$X:$X,$E$3)*INDEX(계산표!$Z:$Z,$E$3)*설정!$B$25)</f>
        <v/>
      </c>
      <c r="D54" s="22" t="str">
        <f t="shared" si="2"/>
        <v/>
      </c>
      <c r="E54" s="21" t="str">
        <f>IF($E$3="","",IF(A54&lt;=ROUND(INDEX(계산표!$N:$N,$E$3),0),IF(ROUND(INDEX(계산표!$N:$N,$E$3),0)&lt;=0,IF(A54=0,1,""),IF(INDEX(계산표!$U:$U,$E$3)&gt;=1,IF(A54=ROUND(INDEX(계산표!$N:$N,$E$3),0),1,0),IF(INDEX(계산표!$U:$U,$E$3)&lt;=0,IF(A54=0,1,0),_xludf.BINOM.DIST(A54,ROUND(INDEX(계산표!$N:$N,$E$3),0),INDEX(계산표!$U:$U,$E$3),FALSE)))),""))</f>
        <v/>
      </c>
      <c r="F54" s="22" t="str">
        <f>IF(E54="","",INDEX(계산표!$AK:$AK,$E$3)*((ROUND(INDEX(계산표!$N:$N,$E$3),0)-A54)+A54*INDEX(계산표!$E:$E,$E$3))*INDEX(계산표!$Y:$Y,$E$3)*INDEX(계산표!$AA:$AA,$E$3)*설정!$B$25)</f>
        <v/>
      </c>
      <c r="G54" s="22" t="str">
        <f t="shared" si="3"/>
        <v/>
      </c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>
      <c r="A55" s="15">
        <v>49</v>
      </c>
      <c r="B55" s="21" t="str">
        <f>IF($E$3="","",IF(A55&lt;=ROUND(INDEX(계산표!$I:$I,$E$3),0),IF(ROUND(INDEX(계산표!$I:$I,$E$3),0)&lt;=0,IF(A55=0,1,""),IF(INDEX(계산표!$T:$T,$E$3)&gt;=1,IF(A55=ROUND(INDEX(계산표!$I:$I,$E$3),0),1,0),IF(INDEX(계산표!$T:$T,$E$3)&lt;=0,IF(A55=0,1,0),_xlfn.BINOM.DIST(A55,ROUND(INDEX(계산표!$I:$I,$E$3),0),INDEX(계산표!$T:$T,$E$3),FALSE)))),""))</f>
        <v/>
      </c>
      <c r="C55" s="22" t="str">
        <f>IF(B55="","",INDEX(계산표!$AJ:$AJ,$E$3)*((ROUND(INDEX(계산표!$I:$I,$E$3),0)-A55)+A55*INDEX(계산표!$E:$E,$E$3))*INDEX(계산표!$X:$X,$E$3)*INDEX(계산표!$Z:$Z,$E$3)*설정!$B$25)</f>
        <v/>
      </c>
      <c r="D55" s="22" t="str">
        <f t="shared" si="2"/>
        <v/>
      </c>
      <c r="E55" s="21" t="str">
        <f>IF($E$3="","",IF(A55&lt;=ROUND(INDEX(계산표!$N:$N,$E$3),0),IF(ROUND(INDEX(계산표!$N:$N,$E$3),0)&lt;=0,IF(A55=0,1,""),IF(INDEX(계산표!$U:$U,$E$3)&gt;=1,IF(A55=ROUND(INDEX(계산표!$N:$N,$E$3),0),1,0),IF(INDEX(계산표!$U:$U,$E$3)&lt;=0,IF(A55=0,1,0),_xludf.BINOM.DIST(A55,ROUND(INDEX(계산표!$N:$N,$E$3),0),INDEX(계산표!$U:$U,$E$3),FALSE)))),""))</f>
        <v/>
      </c>
      <c r="F55" s="22" t="str">
        <f>IF(E55="","",INDEX(계산표!$AK:$AK,$E$3)*((ROUND(INDEX(계산표!$N:$N,$E$3),0)-A55)+A55*INDEX(계산표!$E:$E,$E$3))*INDEX(계산표!$Y:$Y,$E$3)*INDEX(계산표!$AA:$AA,$E$3)*설정!$B$25)</f>
        <v/>
      </c>
      <c r="G55" s="22" t="str">
        <f t="shared" si="3"/>
        <v/>
      </c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>
      <c r="A56" s="15">
        <v>50</v>
      </c>
      <c r="B56" s="21" t="str">
        <f>IF($E$3="","",IF(A56&lt;=ROUND(INDEX(계산표!$I:$I,$E$3),0),IF(ROUND(INDEX(계산표!$I:$I,$E$3),0)&lt;=0,IF(A56=0,1,""),IF(INDEX(계산표!$T:$T,$E$3)&gt;=1,IF(A56=ROUND(INDEX(계산표!$I:$I,$E$3),0),1,0),IF(INDEX(계산표!$T:$T,$E$3)&lt;=0,IF(A56=0,1,0),_xlfn.BINOM.DIST(A56,ROUND(INDEX(계산표!$I:$I,$E$3),0),INDEX(계산표!$T:$T,$E$3),FALSE)))),""))</f>
        <v/>
      </c>
      <c r="C56" s="22" t="str">
        <f>IF(B56="","",INDEX(계산표!$AJ:$AJ,$E$3)*((ROUND(INDEX(계산표!$I:$I,$E$3),0)-A56)+A56*INDEX(계산표!$E:$E,$E$3))*INDEX(계산표!$X:$X,$E$3)*INDEX(계산표!$Z:$Z,$E$3)*설정!$B$25)</f>
        <v/>
      </c>
      <c r="D56" s="22" t="str">
        <f t="shared" si="2"/>
        <v/>
      </c>
      <c r="E56" s="21" t="str">
        <f>IF($E$3="","",IF(A56&lt;=ROUND(INDEX(계산표!$N:$N,$E$3),0),IF(ROUND(INDEX(계산표!$N:$N,$E$3),0)&lt;=0,IF(A56=0,1,""),IF(INDEX(계산표!$U:$U,$E$3)&gt;=1,IF(A56=ROUND(INDEX(계산표!$N:$N,$E$3),0),1,0),IF(INDEX(계산표!$U:$U,$E$3)&lt;=0,IF(A56=0,1,0),_xludf.BINOM.DIST(A56,ROUND(INDEX(계산표!$N:$N,$E$3),0),INDEX(계산표!$U:$U,$E$3),FALSE)))),""))</f>
        <v/>
      </c>
      <c r="F56" s="22" t="str">
        <f>IF(E56="","",INDEX(계산표!$AK:$AK,$E$3)*((ROUND(INDEX(계산표!$N:$N,$E$3),0)-A56)+A56*INDEX(계산표!$E:$E,$E$3))*INDEX(계산표!$Y:$Y,$E$3)*INDEX(계산표!$AA:$AA,$E$3)*설정!$B$25)</f>
        <v/>
      </c>
      <c r="G56" s="22" t="str">
        <f t="shared" si="3"/>
        <v/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>
      <c r="A57" s="15">
        <v>51</v>
      </c>
      <c r="B57" s="21" t="str">
        <f>IF($E$3="","",IF(A57&lt;=ROUND(INDEX(계산표!$I:$I,$E$3),0),IF(ROUND(INDEX(계산표!$I:$I,$E$3),0)&lt;=0,IF(A57=0,1,""),IF(INDEX(계산표!$T:$T,$E$3)&gt;=1,IF(A57=ROUND(INDEX(계산표!$I:$I,$E$3),0),1,0),IF(INDEX(계산표!$T:$T,$E$3)&lt;=0,IF(A57=0,1,0),_xlfn.BINOM.DIST(A57,ROUND(INDEX(계산표!$I:$I,$E$3),0),INDEX(계산표!$T:$T,$E$3),FALSE)))),""))</f>
        <v/>
      </c>
      <c r="C57" s="22" t="str">
        <f>IF(B57="","",INDEX(계산표!$AJ:$AJ,$E$3)*((ROUND(INDEX(계산표!$I:$I,$E$3),0)-A57)+A57*INDEX(계산표!$E:$E,$E$3))*INDEX(계산표!$X:$X,$E$3)*INDEX(계산표!$Z:$Z,$E$3)*설정!$B$25)</f>
        <v/>
      </c>
      <c r="D57" s="22" t="str">
        <f t="shared" si="2"/>
        <v/>
      </c>
      <c r="E57" s="21" t="str">
        <f>IF($E$3="","",IF(A57&lt;=ROUND(INDEX(계산표!$N:$N,$E$3),0),IF(ROUND(INDEX(계산표!$N:$N,$E$3),0)&lt;=0,IF(A57=0,1,""),IF(INDEX(계산표!$U:$U,$E$3)&gt;=1,IF(A57=ROUND(INDEX(계산표!$N:$N,$E$3),0),1,0),IF(INDEX(계산표!$U:$U,$E$3)&lt;=0,IF(A57=0,1,0),_xludf.BINOM.DIST(A57,ROUND(INDEX(계산표!$N:$N,$E$3),0),INDEX(계산표!$U:$U,$E$3),FALSE)))),""))</f>
        <v/>
      </c>
      <c r="F57" s="22" t="str">
        <f>IF(E57="","",INDEX(계산표!$AK:$AK,$E$3)*((ROUND(INDEX(계산표!$N:$N,$E$3),0)-A57)+A57*INDEX(계산표!$E:$E,$E$3))*INDEX(계산표!$Y:$Y,$E$3)*INDEX(계산표!$AA:$AA,$E$3)*설정!$B$25)</f>
        <v/>
      </c>
      <c r="G57" s="22" t="str">
        <f t="shared" si="3"/>
        <v/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>
      <c r="A58" s="15">
        <v>52</v>
      </c>
      <c r="B58" s="21" t="str">
        <f>IF($E$3="","",IF(A58&lt;=ROUND(INDEX(계산표!$I:$I,$E$3),0),IF(ROUND(INDEX(계산표!$I:$I,$E$3),0)&lt;=0,IF(A58=0,1,""),IF(INDEX(계산표!$T:$T,$E$3)&gt;=1,IF(A58=ROUND(INDEX(계산표!$I:$I,$E$3),0),1,0),IF(INDEX(계산표!$T:$T,$E$3)&lt;=0,IF(A58=0,1,0),_xlfn.BINOM.DIST(A58,ROUND(INDEX(계산표!$I:$I,$E$3),0),INDEX(계산표!$T:$T,$E$3),FALSE)))),""))</f>
        <v/>
      </c>
      <c r="C58" s="22" t="str">
        <f>IF(B58="","",INDEX(계산표!$AJ:$AJ,$E$3)*((ROUND(INDEX(계산표!$I:$I,$E$3),0)-A58)+A58*INDEX(계산표!$E:$E,$E$3))*INDEX(계산표!$X:$X,$E$3)*INDEX(계산표!$Z:$Z,$E$3)*설정!$B$25)</f>
        <v/>
      </c>
      <c r="D58" s="22" t="str">
        <f t="shared" si="2"/>
        <v/>
      </c>
      <c r="E58" s="21" t="str">
        <f>IF($E$3="","",IF(A58&lt;=ROUND(INDEX(계산표!$N:$N,$E$3),0),IF(ROUND(INDEX(계산표!$N:$N,$E$3),0)&lt;=0,IF(A58=0,1,""),IF(INDEX(계산표!$U:$U,$E$3)&gt;=1,IF(A58=ROUND(INDEX(계산표!$N:$N,$E$3),0),1,0),IF(INDEX(계산표!$U:$U,$E$3)&lt;=0,IF(A58=0,1,0),_xludf.BINOM.DIST(A58,ROUND(INDEX(계산표!$N:$N,$E$3),0),INDEX(계산표!$U:$U,$E$3),FALSE)))),""))</f>
        <v/>
      </c>
      <c r="F58" s="22" t="str">
        <f>IF(E58="","",INDEX(계산표!$AK:$AK,$E$3)*((ROUND(INDEX(계산표!$N:$N,$E$3),0)-A58)+A58*INDEX(계산표!$E:$E,$E$3))*INDEX(계산표!$Y:$Y,$E$3)*INDEX(계산표!$AA:$AA,$E$3)*설정!$B$25)</f>
        <v/>
      </c>
      <c r="G58" s="22" t="str">
        <f t="shared" si="3"/>
        <v/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>
      <c r="A59" s="15">
        <v>53</v>
      </c>
      <c r="B59" s="21" t="str">
        <f>IF($E$3="","",IF(A59&lt;=ROUND(INDEX(계산표!$I:$I,$E$3),0),IF(ROUND(INDEX(계산표!$I:$I,$E$3),0)&lt;=0,IF(A59=0,1,""),IF(INDEX(계산표!$T:$T,$E$3)&gt;=1,IF(A59=ROUND(INDEX(계산표!$I:$I,$E$3),0),1,0),IF(INDEX(계산표!$T:$T,$E$3)&lt;=0,IF(A59=0,1,0),_xlfn.BINOM.DIST(A59,ROUND(INDEX(계산표!$I:$I,$E$3),0),INDEX(계산표!$T:$T,$E$3),FALSE)))),""))</f>
        <v/>
      </c>
      <c r="C59" s="22" t="str">
        <f>IF(B59="","",INDEX(계산표!$AJ:$AJ,$E$3)*((ROUND(INDEX(계산표!$I:$I,$E$3),0)-A59)+A59*INDEX(계산표!$E:$E,$E$3))*INDEX(계산표!$X:$X,$E$3)*INDEX(계산표!$Z:$Z,$E$3)*설정!$B$25)</f>
        <v/>
      </c>
      <c r="D59" s="22" t="str">
        <f t="shared" si="2"/>
        <v/>
      </c>
      <c r="E59" s="21" t="str">
        <f>IF($E$3="","",IF(A59&lt;=ROUND(INDEX(계산표!$N:$N,$E$3),0),IF(ROUND(INDEX(계산표!$N:$N,$E$3),0)&lt;=0,IF(A59=0,1,""),IF(INDEX(계산표!$U:$U,$E$3)&gt;=1,IF(A59=ROUND(INDEX(계산표!$N:$N,$E$3),0),1,0),IF(INDEX(계산표!$U:$U,$E$3)&lt;=0,IF(A59=0,1,0),_xludf.BINOM.DIST(A59,ROUND(INDEX(계산표!$N:$N,$E$3),0),INDEX(계산표!$U:$U,$E$3),FALSE)))),""))</f>
        <v/>
      </c>
      <c r="F59" s="22" t="str">
        <f>IF(E59="","",INDEX(계산표!$AK:$AK,$E$3)*((ROUND(INDEX(계산표!$N:$N,$E$3),0)-A59)+A59*INDEX(계산표!$E:$E,$E$3))*INDEX(계산표!$Y:$Y,$E$3)*INDEX(계산표!$AA:$AA,$E$3)*설정!$B$25)</f>
        <v/>
      </c>
      <c r="G59" s="22" t="str">
        <f t="shared" si="3"/>
        <v/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>
      <c r="A60" s="15">
        <v>54</v>
      </c>
      <c r="B60" s="21" t="str">
        <f>IF($E$3="","",IF(A60&lt;=ROUND(INDEX(계산표!$I:$I,$E$3),0),IF(ROUND(INDEX(계산표!$I:$I,$E$3),0)&lt;=0,IF(A60=0,1,""),IF(INDEX(계산표!$T:$T,$E$3)&gt;=1,IF(A60=ROUND(INDEX(계산표!$I:$I,$E$3),0),1,0),IF(INDEX(계산표!$T:$T,$E$3)&lt;=0,IF(A60=0,1,0),_xlfn.BINOM.DIST(A60,ROUND(INDEX(계산표!$I:$I,$E$3),0),INDEX(계산표!$T:$T,$E$3),FALSE)))),""))</f>
        <v/>
      </c>
      <c r="C60" s="22" t="str">
        <f>IF(B60="","",INDEX(계산표!$AJ:$AJ,$E$3)*((ROUND(INDEX(계산표!$I:$I,$E$3),0)-A60)+A60*INDEX(계산표!$E:$E,$E$3))*INDEX(계산표!$X:$X,$E$3)*INDEX(계산표!$Z:$Z,$E$3)*설정!$B$25)</f>
        <v/>
      </c>
      <c r="D60" s="22" t="str">
        <f t="shared" si="2"/>
        <v/>
      </c>
      <c r="E60" s="21" t="str">
        <f>IF($E$3="","",IF(A60&lt;=ROUND(INDEX(계산표!$N:$N,$E$3),0),IF(ROUND(INDEX(계산표!$N:$N,$E$3),0)&lt;=0,IF(A60=0,1,""),IF(INDEX(계산표!$U:$U,$E$3)&gt;=1,IF(A60=ROUND(INDEX(계산표!$N:$N,$E$3),0),1,0),IF(INDEX(계산표!$U:$U,$E$3)&lt;=0,IF(A60=0,1,0),_xludf.BINOM.DIST(A60,ROUND(INDEX(계산표!$N:$N,$E$3),0),INDEX(계산표!$U:$U,$E$3),FALSE)))),""))</f>
        <v/>
      </c>
      <c r="F60" s="22" t="str">
        <f>IF(E60="","",INDEX(계산표!$AK:$AK,$E$3)*((ROUND(INDEX(계산표!$N:$N,$E$3),0)-A60)+A60*INDEX(계산표!$E:$E,$E$3))*INDEX(계산표!$Y:$Y,$E$3)*INDEX(계산표!$AA:$AA,$E$3)*설정!$B$25)</f>
        <v/>
      </c>
      <c r="G60" s="22" t="str">
        <f t="shared" si="3"/>
        <v/>
      </c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>
      <c r="A61" s="15">
        <v>55</v>
      </c>
      <c r="B61" s="21" t="str">
        <f>IF($E$3="","",IF(A61&lt;=ROUND(INDEX(계산표!$I:$I,$E$3),0),IF(ROUND(INDEX(계산표!$I:$I,$E$3),0)&lt;=0,IF(A61=0,1,""),IF(INDEX(계산표!$T:$T,$E$3)&gt;=1,IF(A61=ROUND(INDEX(계산표!$I:$I,$E$3),0),1,0),IF(INDEX(계산표!$T:$T,$E$3)&lt;=0,IF(A61=0,1,0),_xlfn.BINOM.DIST(A61,ROUND(INDEX(계산표!$I:$I,$E$3),0),INDEX(계산표!$T:$T,$E$3),FALSE)))),""))</f>
        <v/>
      </c>
      <c r="C61" s="22" t="str">
        <f>IF(B61="","",INDEX(계산표!$AJ:$AJ,$E$3)*((ROUND(INDEX(계산표!$I:$I,$E$3),0)-A61)+A61*INDEX(계산표!$E:$E,$E$3))*INDEX(계산표!$X:$X,$E$3)*INDEX(계산표!$Z:$Z,$E$3)*설정!$B$25)</f>
        <v/>
      </c>
      <c r="D61" s="22" t="str">
        <f t="shared" si="2"/>
        <v/>
      </c>
      <c r="E61" s="21" t="str">
        <f>IF($E$3="","",IF(A61&lt;=ROUND(INDEX(계산표!$N:$N,$E$3),0),IF(ROUND(INDEX(계산표!$N:$N,$E$3),0)&lt;=0,IF(A61=0,1,""),IF(INDEX(계산표!$U:$U,$E$3)&gt;=1,IF(A61=ROUND(INDEX(계산표!$N:$N,$E$3),0),1,0),IF(INDEX(계산표!$U:$U,$E$3)&lt;=0,IF(A61=0,1,0),_xludf.BINOM.DIST(A61,ROUND(INDEX(계산표!$N:$N,$E$3),0),INDEX(계산표!$U:$U,$E$3),FALSE)))),""))</f>
        <v/>
      </c>
      <c r="F61" s="22" t="str">
        <f>IF(E61="","",INDEX(계산표!$AK:$AK,$E$3)*((ROUND(INDEX(계산표!$N:$N,$E$3),0)-A61)+A61*INDEX(계산표!$E:$E,$E$3))*INDEX(계산표!$Y:$Y,$E$3)*INDEX(계산표!$AA:$AA,$E$3)*설정!$B$25)</f>
        <v/>
      </c>
      <c r="G61" s="22" t="str">
        <f t="shared" si="3"/>
        <v/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>
      <c r="A62" s="15">
        <v>56</v>
      </c>
      <c r="B62" s="21" t="str">
        <f>IF($E$3="","",IF(A62&lt;=ROUND(INDEX(계산표!$I:$I,$E$3),0),IF(ROUND(INDEX(계산표!$I:$I,$E$3),0)&lt;=0,IF(A62=0,1,""),IF(INDEX(계산표!$T:$T,$E$3)&gt;=1,IF(A62=ROUND(INDEX(계산표!$I:$I,$E$3),0),1,0),IF(INDEX(계산표!$T:$T,$E$3)&lt;=0,IF(A62=0,1,0),_xlfn.BINOM.DIST(A62,ROUND(INDEX(계산표!$I:$I,$E$3),0),INDEX(계산표!$T:$T,$E$3),FALSE)))),""))</f>
        <v/>
      </c>
      <c r="C62" s="22" t="str">
        <f>IF(B62="","",INDEX(계산표!$AJ:$AJ,$E$3)*((ROUND(INDEX(계산표!$I:$I,$E$3),0)-A62)+A62*INDEX(계산표!$E:$E,$E$3))*INDEX(계산표!$X:$X,$E$3)*INDEX(계산표!$Z:$Z,$E$3)*설정!$B$25)</f>
        <v/>
      </c>
      <c r="D62" s="22" t="str">
        <f t="shared" si="2"/>
        <v/>
      </c>
      <c r="E62" s="21" t="str">
        <f>IF($E$3="","",IF(A62&lt;=ROUND(INDEX(계산표!$N:$N,$E$3),0),IF(ROUND(INDEX(계산표!$N:$N,$E$3),0)&lt;=0,IF(A62=0,1,""),IF(INDEX(계산표!$U:$U,$E$3)&gt;=1,IF(A62=ROUND(INDEX(계산표!$N:$N,$E$3),0),1,0),IF(INDEX(계산표!$U:$U,$E$3)&lt;=0,IF(A62=0,1,0),_xludf.BINOM.DIST(A62,ROUND(INDEX(계산표!$N:$N,$E$3),0),INDEX(계산표!$U:$U,$E$3),FALSE)))),""))</f>
        <v/>
      </c>
      <c r="F62" s="22" t="str">
        <f>IF(E62="","",INDEX(계산표!$AK:$AK,$E$3)*((ROUND(INDEX(계산표!$N:$N,$E$3),0)-A62)+A62*INDEX(계산표!$E:$E,$E$3))*INDEX(계산표!$Y:$Y,$E$3)*INDEX(계산표!$AA:$AA,$E$3)*설정!$B$25)</f>
        <v/>
      </c>
      <c r="G62" s="22" t="str">
        <f t="shared" si="3"/>
        <v/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>
      <c r="A63" s="15">
        <v>57</v>
      </c>
      <c r="B63" s="21" t="str">
        <f>IF($E$3="","",IF(A63&lt;=ROUND(INDEX(계산표!$I:$I,$E$3),0),IF(ROUND(INDEX(계산표!$I:$I,$E$3),0)&lt;=0,IF(A63=0,1,""),IF(INDEX(계산표!$T:$T,$E$3)&gt;=1,IF(A63=ROUND(INDEX(계산표!$I:$I,$E$3),0),1,0),IF(INDEX(계산표!$T:$T,$E$3)&lt;=0,IF(A63=0,1,0),_xlfn.BINOM.DIST(A63,ROUND(INDEX(계산표!$I:$I,$E$3),0),INDEX(계산표!$T:$T,$E$3),FALSE)))),""))</f>
        <v/>
      </c>
      <c r="C63" s="22" t="str">
        <f>IF(B63="","",INDEX(계산표!$AJ:$AJ,$E$3)*((ROUND(INDEX(계산표!$I:$I,$E$3),0)-A63)+A63*INDEX(계산표!$E:$E,$E$3))*INDEX(계산표!$X:$X,$E$3)*INDEX(계산표!$Z:$Z,$E$3)*설정!$B$25)</f>
        <v/>
      </c>
      <c r="D63" s="22" t="str">
        <f t="shared" si="2"/>
        <v/>
      </c>
      <c r="E63" s="21" t="str">
        <f>IF($E$3="","",IF(A63&lt;=ROUND(INDEX(계산표!$N:$N,$E$3),0),IF(ROUND(INDEX(계산표!$N:$N,$E$3),0)&lt;=0,IF(A63=0,1,""),IF(INDEX(계산표!$U:$U,$E$3)&gt;=1,IF(A63=ROUND(INDEX(계산표!$N:$N,$E$3),0),1,0),IF(INDEX(계산표!$U:$U,$E$3)&lt;=0,IF(A63=0,1,0),_xludf.BINOM.DIST(A63,ROUND(INDEX(계산표!$N:$N,$E$3),0),INDEX(계산표!$U:$U,$E$3),FALSE)))),""))</f>
        <v/>
      </c>
      <c r="F63" s="22" t="str">
        <f>IF(E63="","",INDEX(계산표!$AK:$AK,$E$3)*((ROUND(INDEX(계산표!$N:$N,$E$3),0)-A63)+A63*INDEX(계산표!$E:$E,$E$3))*INDEX(계산표!$Y:$Y,$E$3)*INDEX(계산표!$AA:$AA,$E$3)*설정!$B$25)</f>
        <v/>
      </c>
      <c r="G63" s="22" t="str">
        <f t="shared" si="3"/>
        <v/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>
      <c r="A64" s="15">
        <v>58</v>
      </c>
      <c r="B64" s="21" t="str">
        <f>IF($E$3="","",IF(A64&lt;=ROUND(INDEX(계산표!$I:$I,$E$3),0),IF(ROUND(INDEX(계산표!$I:$I,$E$3),0)&lt;=0,IF(A64=0,1,""),IF(INDEX(계산표!$T:$T,$E$3)&gt;=1,IF(A64=ROUND(INDEX(계산표!$I:$I,$E$3),0),1,0),IF(INDEX(계산표!$T:$T,$E$3)&lt;=0,IF(A64=0,1,0),_xlfn.BINOM.DIST(A64,ROUND(INDEX(계산표!$I:$I,$E$3),0),INDEX(계산표!$T:$T,$E$3),FALSE)))),""))</f>
        <v/>
      </c>
      <c r="C64" s="22" t="str">
        <f>IF(B64="","",INDEX(계산표!$AJ:$AJ,$E$3)*((ROUND(INDEX(계산표!$I:$I,$E$3),0)-A64)+A64*INDEX(계산표!$E:$E,$E$3))*INDEX(계산표!$X:$X,$E$3)*INDEX(계산표!$Z:$Z,$E$3)*설정!$B$25)</f>
        <v/>
      </c>
      <c r="D64" s="22" t="str">
        <f t="shared" si="2"/>
        <v/>
      </c>
      <c r="E64" s="21" t="str">
        <f>IF($E$3="","",IF(A64&lt;=ROUND(INDEX(계산표!$N:$N,$E$3),0),IF(ROUND(INDEX(계산표!$N:$N,$E$3),0)&lt;=0,IF(A64=0,1,""),IF(INDEX(계산표!$U:$U,$E$3)&gt;=1,IF(A64=ROUND(INDEX(계산표!$N:$N,$E$3),0),1,0),IF(INDEX(계산표!$U:$U,$E$3)&lt;=0,IF(A64=0,1,0),_xludf.BINOM.DIST(A64,ROUND(INDEX(계산표!$N:$N,$E$3),0),INDEX(계산표!$U:$U,$E$3),FALSE)))),""))</f>
        <v/>
      </c>
      <c r="F64" s="22" t="str">
        <f>IF(E64="","",INDEX(계산표!$AK:$AK,$E$3)*((ROUND(INDEX(계산표!$N:$N,$E$3),0)-A64)+A64*INDEX(계산표!$E:$E,$E$3))*INDEX(계산표!$Y:$Y,$E$3)*INDEX(계산표!$AA:$AA,$E$3)*설정!$B$25)</f>
        <v/>
      </c>
      <c r="G64" s="22" t="str">
        <f t="shared" si="3"/>
        <v/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>
      <c r="A65" s="15">
        <v>59</v>
      </c>
      <c r="B65" s="21" t="str">
        <f>IF($E$3="","",IF(A65&lt;=ROUND(INDEX(계산표!$I:$I,$E$3),0),IF(ROUND(INDEX(계산표!$I:$I,$E$3),0)&lt;=0,IF(A65=0,1,""),IF(INDEX(계산표!$T:$T,$E$3)&gt;=1,IF(A65=ROUND(INDEX(계산표!$I:$I,$E$3),0),1,0),IF(INDEX(계산표!$T:$T,$E$3)&lt;=0,IF(A65=0,1,0),_xlfn.BINOM.DIST(A65,ROUND(INDEX(계산표!$I:$I,$E$3),0),INDEX(계산표!$T:$T,$E$3),FALSE)))),""))</f>
        <v/>
      </c>
      <c r="C65" s="22" t="str">
        <f>IF(B65="","",INDEX(계산표!$AJ:$AJ,$E$3)*((ROUND(INDEX(계산표!$I:$I,$E$3),0)-A65)+A65*INDEX(계산표!$E:$E,$E$3))*INDEX(계산표!$X:$X,$E$3)*INDEX(계산표!$Z:$Z,$E$3)*설정!$B$25)</f>
        <v/>
      </c>
      <c r="D65" s="22" t="str">
        <f t="shared" si="2"/>
        <v/>
      </c>
      <c r="E65" s="21" t="str">
        <f>IF($E$3="","",IF(A65&lt;=ROUND(INDEX(계산표!$N:$N,$E$3),0),IF(ROUND(INDEX(계산표!$N:$N,$E$3),0)&lt;=0,IF(A65=0,1,""),IF(INDEX(계산표!$U:$U,$E$3)&gt;=1,IF(A65=ROUND(INDEX(계산표!$N:$N,$E$3),0),1,0),IF(INDEX(계산표!$U:$U,$E$3)&lt;=0,IF(A65=0,1,0),_xludf.BINOM.DIST(A65,ROUND(INDEX(계산표!$N:$N,$E$3),0),INDEX(계산표!$U:$U,$E$3),FALSE)))),""))</f>
        <v/>
      </c>
      <c r="F65" s="22" t="str">
        <f>IF(E65="","",INDEX(계산표!$AK:$AK,$E$3)*((ROUND(INDEX(계산표!$N:$N,$E$3),0)-A65)+A65*INDEX(계산표!$E:$E,$E$3))*INDEX(계산표!$Y:$Y,$E$3)*INDEX(계산표!$AA:$AA,$E$3)*설정!$B$25)</f>
        <v/>
      </c>
      <c r="G65" s="22" t="str">
        <f t="shared" si="3"/>
        <v/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>
      <c r="A66" s="15">
        <v>60</v>
      </c>
      <c r="B66" s="21" t="str">
        <f>IF($E$3="","",IF(A66&lt;=ROUND(INDEX(계산표!$I:$I,$E$3),0),IF(ROUND(INDEX(계산표!$I:$I,$E$3),0)&lt;=0,IF(A66=0,1,""),IF(INDEX(계산표!$T:$T,$E$3)&gt;=1,IF(A66=ROUND(INDEX(계산표!$I:$I,$E$3),0),1,0),IF(INDEX(계산표!$T:$T,$E$3)&lt;=0,IF(A66=0,1,0),_xlfn.BINOM.DIST(A66,ROUND(INDEX(계산표!$I:$I,$E$3),0),INDEX(계산표!$T:$T,$E$3),FALSE)))),""))</f>
        <v/>
      </c>
      <c r="C66" s="22" t="str">
        <f>IF(B66="","",INDEX(계산표!$AJ:$AJ,$E$3)*((ROUND(INDEX(계산표!$I:$I,$E$3),0)-A66)+A66*INDEX(계산표!$E:$E,$E$3))*INDEX(계산표!$X:$X,$E$3)*INDEX(계산표!$Z:$Z,$E$3)*설정!$B$25)</f>
        <v/>
      </c>
      <c r="D66" s="22" t="str">
        <f t="shared" si="2"/>
        <v/>
      </c>
      <c r="E66" s="21" t="str">
        <f>IF($E$3="","",IF(A66&lt;=ROUND(INDEX(계산표!$N:$N,$E$3),0),IF(ROUND(INDEX(계산표!$N:$N,$E$3),0)&lt;=0,IF(A66=0,1,""),IF(INDEX(계산표!$U:$U,$E$3)&gt;=1,IF(A66=ROUND(INDEX(계산표!$N:$N,$E$3),0),1,0),IF(INDEX(계산표!$U:$U,$E$3)&lt;=0,IF(A66=0,1,0),_xludf.BINOM.DIST(A66,ROUND(INDEX(계산표!$N:$N,$E$3),0),INDEX(계산표!$U:$U,$E$3),FALSE)))),""))</f>
        <v/>
      </c>
      <c r="F66" s="22" t="str">
        <f>IF(E66="","",INDEX(계산표!$AK:$AK,$E$3)*((ROUND(INDEX(계산표!$N:$N,$E$3),0)-A66)+A66*INDEX(계산표!$E:$E,$E$3))*INDEX(계산표!$Y:$Y,$E$3)*INDEX(계산표!$AA:$AA,$E$3)*설정!$B$25)</f>
        <v/>
      </c>
      <c r="G66" s="22" t="str">
        <f t="shared" si="3"/>
        <v/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>
      <c r="A67" s="15">
        <v>61</v>
      </c>
      <c r="B67" s="21" t="str">
        <f>IF($E$3="","",IF(A67&lt;=ROUND(INDEX(계산표!$I:$I,$E$3),0),IF(ROUND(INDEX(계산표!$I:$I,$E$3),0)&lt;=0,IF(A67=0,1,""),IF(INDEX(계산표!$T:$T,$E$3)&gt;=1,IF(A67=ROUND(INDEX(계산표!$I:$I,$E$3),0),1,0),IF(INDEX(계산표!$T:$T,$E$3)&lt;=0,IF(A67=0,1,0),_xlfn.BINOM.DIST(A67,ROUND(INDEX(계산표!$I:$I,$E$3),0),INDEX(계산표!$T:$T,$E$3),FALSE)))),""))</f>
        <v/>
      </c>
      <c r="C67" s="22" t="str">
        <f>IF(B67="","",INDEX(계산표!$AJ:$AJ,$E$3)*((ROUND(INDEX(계산표!$I:$I,$E$3),0)-A67)+A67*INDEX(계산표!$E:$E,$E$3))*INDEX(계산표!$X:$X,$E$3)*INDEX(계산표!$Z:$Z,$E$3)*설정!$B$25)</f>
        <v/>
      </c>
      <c r="D67" s="22" t="str">
        <f t="shared" si="2"/>
        <v/>
      </c>
      <c r="E67" s="21" t="str">
        <f>IF($E$3="","",IF(A67&lt;=ROUND(INDEX(계산표!$N:$N,$E$3),0),IF(ROUND(INDEX(계산표!$N:$N,$E$3),0)&lt;=0,IF(A67=0,1,""),IF(INDEX(계산표!$U:$U,$E$3)&gt;=1,IF(A67=ROUND(INDEX(계산표!$N:$N,$E$3),0),1,0),IF(INDEX(계산표!$U:$U,$E$3)&lt;=0,IF(A67=0,1,0),_xludf.BINOM.DIST(A67,ROUND(INDEX(계산표!$N:$N,$E$3),0),INDEX(계산표!$U:$U,$E$3),FALSE)))),""))</f>
        <v/>
      </c>
      <c r="F67" s="22" t="str">
        <f>IF(E67="","",INDEX(계산표!$AK:$AK,$E$3)*((ROUND(INDEX(계산표!$N:$N,$E$3),0)-A67)+A67*INDEX(계산표!$E:$E,$E$3))*INDEX(계산표!$Y:$Y,$E$3)*INDEX(계산표!$AA:$AA,$E$3)*설정!$B$25)</f>
        <v/>
      </c>
      <c r="G67" s="22" t="str">
        <f t="shared" si="3"/>
        <v/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>
      <c r="A68" s="15">
        <v>62</v>
      </c>
      <c r="B68" s="21" t="str">
        <f>IF($E$3="","",IF(A68&lt;=ROUND(INDEX(계산표!$I:$I,$E$3),0),IF(ROUND(INDEX(계산표!$I:$I,$E$3),0)&lt;=0,IF(A68=0,1,""),IF(INDEX(계산표!$T:$T,$E$3)&gt;=1,IF(A68=ROUND(INDEX(계산표!$I:$I,$E$3),0),1,0),IF(INDEX(계산표!$T:$T,$E$3)&lt;=0,IF(A68=0,1,0),_xlfn.BINOM.DIST(A68,ROUND(INDEX(계산표!$I:$I,$E$3),0),INDEX(계산표!$T:$T,$E$3),FALSE)))),""))</f>
        <v/>
      </c>
      <c r="C68" s="22" t="str">
        <f>IF(B68="","",INDEX(계산표!$AJ:$AJ,$E$3)*((ROUND(INDEX(계산표!$I:$I,$E$3),0)-A68)+A68*INDEX(계산표!$E:$E,$E$3))*INDEX(계산표!$X:$X,$E$3)*INDEX(계산표!$Z:$Z,$E$3)*설정!$B$25)</f>
        <v/>
      </c>
      <c r="D68" s="22" t="str">
        <f t="shared" si="2"/>
        <v/>
      </c>
      <c r="E68" s="21" t="str">
        <f>IF($E$3="","",IF(A68&lt;=ROUND(INDEX(계산표!$N:$N,$E$3),0),IF(ROUND(INDEX(계산표!$N:$N,$E$3),0)&lt;=0,IF(A68=0,1,""),IF(INDEX(계산표!$U:$U,$E$3)&gt;=1,IF(A68=ROUND(INDEX(계산표!$N:$N,$E$3),0),1,0),IF(INDEX(계산표!$U:$U,$E$3)&lt;=0,IF(A68=0,1,0),_xludf.BINOM.DIST(A68,ROUND(INDEX(계산표!$N:$N,$E$3),0),INDEX(계산표!$U:$U,$E$3),FALSE)))),""))</f>
        <v/>
      </c>
      <c r="F68" s="22" t="str">
        <f>IF(E68="","",INDEX(계산표!$AK:$AK,$E$3)*((ROUND(INDEX(계산표!$N:$N,$E$3),0)-A68)+A68*INDEX(계산표!$E:$E,$E$3))*INDEX(계산표!$Y:$Y,$E$3)*INDEX(계산표!$AA:$AA,$E$3)*설정!$B$25)</f>
        <v/>
      </c>
      <c r="G68" s="22" t="str">
        <f t="shared" si="3"/>
        <v/>
      </c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>
      <c r="A69" s="15">
        <v>63</v>
      </c>
      <c r="B69" s="21" t="str">
        <f>IF($E$3="","",IF(A69&lt;=ROUND(INDEX(계산표!$I:$I,$E$3),0),IF(ROUND(INDEX(계산표!$I:$I,$E$3),0)&lt;=0,IF(A69=0,1,""),IF(INDEX(계산표!$T:$T,$E$3)&gt;=1,IF(A69=ROUND(INDEX(계산표!$I:$I,$E$3),0),1,0),IF(INDEX(계산표!$T:$T,$E$3)&lt;=0,IF(A69=0,1,0),_xlfn.BINOM.DIST(A69,ROUND(INDEX(계산표!$I:$I,$E$3),0),INDEX(계산표!$T:$T,$E$3),FALSE)))),""))</f>
        <v/>
      </c>
      <c r="C69" s="22" t="str">
        <f>IF(B69="","",INDEX(계산표!$AJ:$AJ,$E$3)*((ROUND(INDEX(계산표!$I:$I,$E$3),0)-A69)+A69*INDEX(계산표!$E:$E,$E$3))*INDEX(계산표!$X:$X,$E$3)*INDEX(계산표!$Z:$Z,$E$3)*설정!$B$25)</f>
        <v/>
      </c>
      <c r="D69" s="22" t="str">
        <f t="shared" si="2"/>
        <v/>
      </c>
      <c r="E69" s="21" t="str">
        <f>IF($E$3="","",IF(A69&lt;=ROUND(INDEX(계산표!$N:$N,$E$3),0),IF(ROUND(INDEX(계산표!$N:$N,$E$3),0)&lt;=0,IF(A69=0,1,""),IF(INDEX(계산표!$U:$U,$E$3)&gt;=1,IF(A69=ROUND(INDEX(계산표!$N:$N,$E$3),0),1,0),IF(INDEX(계산표!$U:$U,$E$3)&lt;=0,IF(A69=0,1,0),_xludf.BINOM.DIST(A69,ROUND(INDEX(계산표!$N:$N,$E$3),0),INDEX(계산표!$U:$U,$E$3),FALSE)))),""))</f>
        <v/>
      </c>
      <c r="F69" s="22" t="str">
        <f>IF(E69="","",INDEX(계산표!$AK:$AK,$E$3)*((ROUND(INDEX(계산표!$N:$N,$E$3),0)-A69)+A69*INDEX(계산표!$E:$E,$E$3))*INDEX(계산표!$Y:$Y,$E$3)*INDEX(계산표!$AA:$AA,$E$3)*설정!$B$25)</f>
        <v/>
      </c>
      <c r="G69" s="22" t="str">
        <f t="shared" si="3"/>
        <v/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>
      <c r="A70" s="15">
        <v>64</v>
      </c>
      <c r="B70" s="21" t="str">
        <f>IF($E$3="","",IF(A70&lt;=ROUND(INDEX(계산표!$I:$I,$E$3),0),IF(ROUND(INDEX(계산표!$I:$I,$E$3),0)&lt;=0,IF(A70=0,1,""),IF(INDEX(계산표!$T:$T,$E$3)&gt;=1,IF(A70=ROUND(INDEX(계산표!$I:$I,$E$3),0),1,0),IF(INDEX(계산표!$T:$T,$E$3)&lt;=0,IF(A70=0,1,0),_xlfn.BINOM.DIST(A70,ROUND(INDEX(계산표!$I:$I,$E$3),0),INDEX(계산표!$T:$T,$E$3),FALSE)))),""))</f>
        <v/>
      </c>
      <c r="C70" s="22" t="str">
        <f>IF(B70="","",INDEX(계산표!$AJ:$AJ,$E$3)*((ROUND(INDEX(계산표!$I:$I,$E$3),0)-A70)+A70*INDEX(계산표!$E:$E,$E$3))*INDEX(계산표!$X:$X,$E$3)*INDEX(계산표!$Z:$Z,$E$3)*설정!$B$25)</f>
        <v/>
      </c>
      <c r="D70" s="22" t="str">
        <f t="shared" ref="D70:D101" si="4">IF(OR(B70="",C70=""),"",B70*C70)</f>
        <v/>
      </c>
      <c r="E70" s="21" t="str">
        <f>IF($E$3="","",IF(A70&lt;=ROUND(INDEX(계산표!$N:$N,$E$3),0),IF(ROUND(INDEX(계산표!$N:$N,$E$3),0)&lt;=0,IF(A70=0,1,""),IF(INDEX(계산표!$U:$U,$E$3)&gt;=1,IF(A70=ROUND(INDEX(계산표!$N:$N,$E$3),0),1,0),IF(INDEX(계산표!$U:$U,$E$3)&lt;=0,IF(A70=0,1,0),_xludf.BINOM.DIST(A70,ROUND(INDEX(계산표!$N:$N,$E$3),0),INDEX(계산표!$U:$U,$E$3),FALSE)))),""))</f>
        <v/>
      </c>
      <c r="F70" s="22" t="str">
        <f>IF(E70="","",INDEX(계산표!$AK:$AK,$E$3)*((ROUND(INDEX(계산표!$N:$N,$E$3),0)-A70)+A70*INDEX(계산표!$E:$E,$E$3))*INDEX(계산표!$Y:$Y,$E$3)*INDEX(계산표!$AA:$AA,$E$3)*설정!$B$25)</f>
        <v/>
      </c>
      <c r="G70" s="22" t="str">
        <f t="shared" ref="G70:G101" si="5">IF(OR(E70="",F70=""),"",E70*F70)</f>
        <v/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>
      <c r="A71" s="15">
        <v>65</v>
      </c>
      <c r="B71" s="21" t="str">
        <f>IF($E$3="","",IF(A71&lt;=ROUND(INDEX(계산표!$I:$I,$E$3),0),IF(ROUND(INDEX(계산표!$I:$I,$E$3),0)&lt;=0,IF(A71=0,1,""),IF(INDEX(계산표!$T:$T,$E$3)&gt;=1,IF(A71=ROUND(INDEX(계산표!$I:$I,$E$3),0),1,0),IF(INDEX(계산표!$T:$T,$E$3)&lt;=0,IF(A71=0,1,0),_xlfn.BINOM.DIST(A71,ROUND(INDEX(계산표!$I:$I,$E$3),0),INDEX(계산표!$T:$T,$E$3),FALSE)))),""))</f>
        <v/>
      </c>
      <c r="C71" s="22" t="str">
        <f>IF(B71="","",INDEX(계산표!$AJ:$AJ,$E$3)*((ROUND(INDEX(계산표!$I:$I,$E$3),0)-A71)+A71*INDEX(계산표!$E:$E,$E$3))*INDEX(계산표!$X:$X,$E$3)*INDEX(계산표!$Z:$Z,$E$3)*설정!$B$25)</f>
        <v/>
      </c>
      <c r="D71" s="22" t="str">
        <f t="shared" si="4"/>
        <v/>
      </c>
      <c r="E71" s="21" t="str">
        <f>IF($E$3="","",IF(A71&lt;=ROUND(INDEX(계산표!$N:$N,$E$3),0),IF(ROUND(INDEX(계산표!$N:$N,$E$3),0)&lt;=0,IF(A71=0,1,""),IF(INDEX(계산표!$U:$U,$E$3)&gt;=1,IF(A71=ROUND(INDEX(계산표!$N:$N,$E$3),0),1,0),IF(INDEX(계산표!$U:$U,$E$3)&lt;=0,IF(A71=0,1,0),_xludf.BINOM.DIST(A71,ROUND(INDEX(계산표!$N:$N,$E$3),0),INDEX(계산표!$U:$U,$E$3),FALSE)))),""))</f>
        <v/>
      </c>
      <c r="F71" s="22" t="str">
        <f>IF(E71="","",INDEX(계산표!$AK:$AK,$E$3)*((ROUND(INDEX(계산표!$N:$N,$E$3),0)-A71)+A71*INDEX(계산표!$E:$E,$E$3))*INDEX(계산표!$Y:$Y,$E$3)*INDEX(계산표!$AA:$AA,$E$3)*설정!$B$25)</f>
        <v/>
      </c>
      <c r="G71" s="22" t="str">
        <f t="shared" si="5"/>
        <v/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>
      <c r="A72" s="15">
        <v>66</v>
      </c>
      <c r="B72" s="21" t="str">
        <f>IF($E$3="","",IF(A72&lt;=ROUND(INDEX(계산표!$I:$I,$E$3),0),IF(ROUND(INDEX(계산표!$I:$I,$E$3),0)&lt;=0,IF(A72=0,1,""),IF(INDEX(계산표!$T:$T,$E$3)&gt;=1,IF(A72=ROUND(INDEX(계산표!$I:$I,$E$3),0),1,0),IF(INDEX(계산표!$T:$T,$E$3)&lt;=0,IF(A72=0,1,0),_xlfn.BINOM.DIST(A72,ROUND(INDEX(계산표!$I:$I,$E$3),0),INDEX(계산표!$T:$T,$E$3),FALSE)))),""))</f>
        <v/>
      </c>
      <c r="C72" s="22" t="str">
        <f>IF(B72="","",INDEX(계산표!$AJ:$AJ,$E$3)*((ROUND(INDEX(계산표!$I:$I,$E$3),0)-A72)+A72*INDEX(계산표!$E:$E,$E$3))*INDEX(계산표!$X:$X,$E$3)*INDEX(계산표!$Z:$Z,$E$3)*설정!$B$25)</f>
        <v/>
      </c>
      <c r="D72" s="22" t="str">
        <f t="shared" si="4"/>
        <v/>
      </c>
      <c r="E72" s="21" t="str">
        <f>IF($E$3="","",IF(A72&lt;=ROUND(INDEX(계산표!$N:$N,$E$3),0),IF(ROUND(INDEX(계산표!$N:$N,$E$3),0)&lt;=0,IF(A72=0,1,""),IF(INDEX(계산표!$U:$U,$E$3)&gt;=1,IF(A72=ROUND(INDEX(계산표!$N:$N,$E$3),0),1,0),IF(INDEX(계산표!$U:$U,$E$3)&lt;=0,IF(A72=0,1,0),_xludf.BINOM.DIST(A72,ROUND(INDEX(계산표!$N:$N,$E$3),0),INDEX(계산표!$U:$U,$E$3),FALSE)))),""))</f>
        <v/>
      </c>
      <c r="F72" s="22" t="str">
        <f>IF(E72="","",INDEX(계산표!$AK:$AK,$E$3)*((ROUND(INDEX(계산표!$N:$N,$E$3),0)-A72)+A72*INDEX(계산표!$E:$E,$E$3))*INDEX(계산표!$Y:$Y,$E$3)*INDEX(계산표!$AA:$AA,$E$3)*설정!$B$25)</f>
        <v/>
      </c>
      <c r="G72" s="22" t="str">
        <f t="shared" si="5"/>
        <v/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>
      <c r="A73" s="15">
        <v>67</v>
      </c>
      <c r="B73" s="21" t="str">
        <f>IF($E$3="","",IF(A73&lt;=ROUND(INDEX(계산표!$I:$I,$E$3),0),IF(ROUND(INDEX(계산표!$I:$I,$E$3),0)&lt;=0,IF(A73=0,1,""),IF(INDEX(계산표!$T:$T,$E$3)&gt;=1,IF(A73=ROUND(INDEX(계산표!$I:$I,$E$3),0),1,0),IF(INDEX(계산표!$T:$T,$E$3)&lt;=0,IF(A73=0,1,0),_xlfn.BINOM.DIST(A73,ROUND(INDEX(계산표!$I:$I,$E$3),0),INDEX(계산표!$T:$T,$E$3),FALSE)))),""))</f>
        <v/>
      </c>
      <c r="C73" s="22" t="str">
        <f>IF(B73="","",INDEX(계산표!$AJ:$AJ,$E$3)*((ROUND(INDEX(계산표!$I:$I,$E$3),0)-A73)+A73*INDEX(계산표!$E:$E,$E$3))*INDEX(계산표!$X:$X,$E$3)*INDEX(계산표!$Z:$Z,$E$3)*설정!$B$25)</f>
        <v/>
      </c>
      <c r="D73" s="22" t="str">
        <f t="shared" si="4"/>
        <v/>
      </c>
      <c r="E73" s="21" t="str">
        <f>IF($E$3="","",IF(A73&lt;=ROUND(INDEX(계산표!$N:$N,$E$3),0),IF(ROUND(INDEX(계산표!$N:$N,$E$3),0)&lt;=0,IF(A73=0,1,""),IF(INDEX(계산표!$U:$U,$E$3)&gt;=1,IF(A73=ROUND(INDEX(계산표!$N:$N,$E$3),0),1,0),IF(INDEX(계산표!$U:$U,$E$3)&lt;=0,IF(A73=0,1,0),_xludf.BINOM.DIST(A73,ROUND(INDEX(계산표!$N:$N,$E$3),0),INDEX(계산표!$U:$U,$E$3),FALSE)))),""))</f>
        <v/>
      </c>
      <c r="F73" s="22" t="str">
        <f>IF(E73="","",INDEX(계산표!$AK:$AK,$E$3)*((ROUND(INDEX(계산표!$N:$N,$E$3),0)-A73)+A73*INDEX(계산표!$E:$E,$E$3))*INDEX(계산표!$Y:$Y,$E$3)*INDEX(계산표!$AA:$AA,$E$3)*설정!$B$25)</f>
        <v/>
      </c>
      <c r="G73" s="22" t="str">
        <f t="shared" si="5"/>
        <v/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>
      <c r="A74" s="15">
        <v>68</v>
      </c>
      <c r="B74" s="21" t="str">
        <f>IF($E$3="","",IF(A74&lt;=ROUND(INDEX(계산표!$I:$I,$E$3),0),IF(ROUND(INDEX(계산표!$I:$I,$E$3),0)&lt;=0,IF(A74=0,1,""),IF(INDEX(계산표!$T:$T,$E$3)&gt;=1,IF(A74=ROUND(INDEX(계산표!$I:$I,$E$3),0),1,0),IF(INDEX(계산표!$T:$T,$E$3)&lt;=0,IF(A74=0,1,0),_xlfn.BINOM.DIST(A74,ROUND(INDEX(계산표!$I:$I,$E$3),0),INDEX(계산표!$T:$T,$E$3),FALSE)))),""))</f>
        <v/>
      </c>
      <c r="C74" s="22" t="str">
        <f>IF(B74="","",INDEX(계산표!$AJ:$AJ,$E$3)*((ROUND(INDEX(계산표!$I:$I,$E$3),0)-A74)+A74*INDEX(계산표!$E:$E,$E$3))*INDEX(계산표!$X:$X,$E$3)*INDEX(계산표!$Z:$Z,$E$3)*설정!$B$25)</f>
        <v/>
      </c>
      <c r="D74" s="22" t="str">
        <f t="shared" si="4"/>
        <v/>
      </c>
      <c r="E74" s="21" t="str">
        <f>IF($E$3="","",IF(A74&lt;=ROUND(INDEX(계산표!$N:$N,$E$3),0),IF(ROUND(INDEX(계산표!$N:$N,$E$3),0)&lt;=0,IF(A74=0,1,""),IF(INDEX(계산표!$U:$U,$E$3)&gt;=1,IF(A74=ROUND(INDEX(계산표!$N:$N,$E$3),0),1,0),IF(INDEX(계산표!$U:$U,$E$3)&lt;=0,IF(A74=0,1,0),_xludf.BINOM.DIST(A74,ROUND(INDEX(계산표!$N:$N,$E$3),0),INDEX(계산표!$U:$U,$E$3),FALSE)))),""))</f>
        <v/>
      </c>
      <c r="F74" s="22" t="str">
        <f>IF(E74="","",INDEX(계산표!$AK:$AK,$E$3)*((ROUND(INDEX(계산표!$N:$N,$E$3),0)-A74)+A74*INDEX(계산표!$E:$E,$E$3))*INDEX(계산표!$Y:$Y,$E$3)*INDEX(계산표!$AA:$AA,$E$3)*설정!$B$25)</f>
        <v/>
      </c>
      <c r="G74" s="22" t="str">
        <f t="shared" si="5"/>
        <v/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>
      <c r="A75" s="15">
        <v>69</v>
      </c>
      <c r="B75" s="21" t="str">
        <f>IF($E$3="","",IF(A75&lt;=ROUND(INDEX(계산표!$I:$I,$E$3),0),IF(ROUND(INDEX(계산표!$I:$I,$E$3),0)&lt;=0,IF(A75=0,1,""),IF(INDEX(계산표!$T:$T,$E$3)&gt;=1,IF(A75=ROUND(INDEX(계산표!$I:$I,$E$3),0),1,0),IF(INDEX(계산표!$T:$T,$E$3)&lt;=0,IF(A75=0,1,0),_xlfn.BINOM.DIST(A75,ROUND(INDEX(계산표!$I:$I,$E$3),0),INDEX(계산표!$T:$T,$E$3),FALSE)))),""))</f>
        <v/>
      </c>
      <c r="C75" s="22" t="str">
        <f>IF(B75="","",INDEX(계산표!$AJ:$AJ,$E$3)*((ROUND(INDEX(계산표!$I:$I,$E$3),0)-A75)+A75*INDEX(계산표!$E:$E,$E$3))*INDEX(계산표!$X:$X,$E$3)*INDEX(계산표!$Z:$Z,$E$3)*설정!$B$25)</f>
        <v/>
      </c>
      <c r="D75" s="22" t="str">
        <f t="shared" si="4"/>
        <v/>
      </c>
      <c r="E75" s="21" t="str">
        <f>IF($E$3="","",IF(A75&lt;=ROUND(INDEX(계산표!$N:$N,$E$3),0),IF(ROUND(INDEX(계산표!$N:$N,$E$3),0)&lt;=0,IF(A75=0,1,""),IF(INDEX(계산표!$U:$U,$E$3)&gt;=1,IF(A75=ROUND(INDEX(계산표!$N:$N,$E$3),0),1,0),IF(INDEX(계산표!$U:$U,$E$3)&lt;=0,IF(A75=0,1,0),_xludf.BINOM.DIST(A75,ROUND(INDEX(계산표!$N:$N,$E$3),0),INDEX(계산표!$U:$U,$E$3),FALSE)))),""))</f>
        <v/>
      </c>
      <c r="F75" s="22" t="str">
        <f>IF(E75="","",INDEX(계산표!$AK:$AK,$E$3)*((ROUND(INDEX(계산표!$N:$N,$E$3),0)-A75)+A75*INDEX(계산표!$E:$E,$E$3))*INDEX(계산표!$Y:$Y,$E$3)*INDEX(계산표!$AA:$AA,$E$3)*설정!$B$25)</f>
        <v/>
      </c>
      <c r="G75" s="22" t="str">
        <f t="shared" si="5"/>
        <v/>
      </c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>
      <c r="A76" s="15">
        <v>70</v>
      </c>
      <c r="B76" s="21" t="str">
        <f>IF($E$3="","",IF(A76&lt;=ROUND(INDEX(계산표!$I:$I,$E$3),0),IF(ROUND(INDEX(계산표!$I:$I,$E$3),0)&lt;=0,IF(A76=0,1,""),IF(INDEX(계산표!$T:$T,$E$3)&gt;=1,IF(A76=ROUND(INDEX(계산표!$I:$I,$E$3),0),1,0),IF(INDEX(계산표!$T:$T,$E$3)&lt;=0,IF(A76=0,1,0),_xlfn.BINOM.DIST(A76,ROUND(INDEX(계산표!$I:$I,$E$3),0),INDEX(계산표!$T:$T,$E$3),FALSE)))),""))</f>
        <v/>
      </c>
      <c r="C76" s="22" t="str">
        <f>IF(B76="","",INDEX(계산표!$AJ:$AJ,$E$3)*((ROUND(INDEX(계산표!$I:$I,$E$3),0)-A76)+A76*INDEX(계산표!$E:$E,$E$3))*INDEX(계산표!$X:$X,$E$3)*INDEX(계산표!$Z:$Z,$E$3)*설정!$B$25)</f>
        <v/>
      </c>
      <c r="D76" s="22" t="str">
        <f t="shared" si="4"/>
        <v/>
      </c>
      <c r="E76" s="21" t="str">
        <f>IF($E$3="","",IF(A76&lt;=ROUND(INDEX(계산표!$N:$N,$E$3),0),IF(ROUND(INDEX(계산표!$N:$N,$E$3),0)&lt;=0,IF(A76=0,1,""),IF(INDEX(계산표!$U:$U,$E$3)&gt;=1,IF(A76=ROUND(INDEX(계산표!$N:$N,$E$3),0),1,0),IF(INDEX(계산표!$U:$U,$E$3)&lt;=0,IF(A76=0,1,0),_xludf.BINOM.DIST(A76,ROUND(INDEX(계산표!$N:$N,$E$3),0),INDEX(계산표!$U:$U,$E$3),FALSE)))),""))</f>
        <v/>
      </c>
      <c r="F76" s="22" t="str">
        <f>IF(E76="","",INDEX(계산표!$AK:$AK,$E$3)*((ROUND(INDEX(계산표!$N:$N,$E$3),0)-A76)+A76*INDEX(계산표!$E:$E,$E$3))*INDEX(계산표!$Y:$Y,$E$3)*INDEX(계산표!$AA:$AA,$E$3)*설정!$B$25)</f>
        <v/>
      </c>
      <c r="G76" s="22" t="str">
        <f t="shared" si="5"/>
        <v/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>
      <c r="A77" s="15">
        <v>71</v>
      </c>
      <c r="B77" s="21" t="str">
        <f>IF($E$3="","",IF(A77&lt;=ROUND(INDEX(계산표!$I:$I,$E$3),0),IF(ROUND(INDEX(계산표!$I:$I,$E$3),0)&lt;=0,IF(A77=0,1,""),IF(INDEX(계산표!$T:$T,$E$3)&gt;=1,IF(A77=ROUND(INDEX(계산표!$I:$I,$E$3),0),1,0),IF(INDEX(계산표!$T:$T,$E$3)&lt;=0,IF(A77=0,1,0),_xlfn.BINOM.DIST(A77,ROUND(INDEX(계산표!$I:$I,$E$3),0),INDEX(계산표!$T:$T,$E$3),FALSE)))),""))</f>
        <v/>
      </c>
      <c r="C77" s="22" t="str">
        <f>IF(B77="","",INDEX(계산표!$AJ:$AJ,$E$3)*((ROUND(INDEX(계산표!$I:$I,$E$3),0)-A77)+A77*INDEX(계산표!$E:$E,$E$3))*INDEX(계산표!$X:$X,$E$3)*INDEX(계산표!$Z:$Z,$E$3)*설정!$B$25)</f>
        <v/>
      </c>
      <c r="D77" s="22" t="str">
        <f t="shared" si="4"/>
        <v/>
      </c>
      <c r="E77" s="21" t="str">
        <f>IF($E$3="","",IF(A77&lt;=ROUND(INDEX(계산표!$N:$N,$E$3),0),IF(ROUND(INDEX(계산표!$N:$N,$E$3),0)&lt;=0,IF(A77=0,1,""),IF(INDEX(계산표!$U:$U,$E$3)&gt;=1,IF(A77=ROUND(INDEX(계산표!$N:$N,$E$3),0),1,0),IF(INDEX(계산표!$U:$U,$E$3)&lt;=0,IF(A77=0,1,0),_xludf.BINOM.DIST(A77,ROUND(INDEX(계산표!$N:$N,$E$3),0),INDEX(계산표!$U:$U,$E$3),FALSE)))),""))</f>
        <v/>
      </c>
      <c r="F77" s="22" t="str">
        <f>IF(E77="","",INDEX(계산표!$AK:$AK,$E$3)*((ROUND(INDEX(계산표!$N:$N,$E$3),0)-A77)+A77*INDEX(계산표!$E:$E,$E$3))*INDEX(계산표!$Y:$Y,$E$3)*INDEX(계산표!$AA:$AA,$E$3)*설정!$B$25)</f>
        <v/>
      </c>
      <c r="G77" s="22" t="str">
        <f t="shared" si="5"/>
        <v/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>
      <c r="A78" s="15">
        <v>72</v>
      </c>
      <c r="B78" s="21" t="str">
        <f>IF($E$3="","",IF(A78&lt;=ROUND(INDEX(계산표!$I:$I,$E$3),0),IF(ROUND(INDEX(계산표!$I:$I,$E$3),0)&lt;=0,IF(A78=0,1,""),IF(INDEX(계산표!$T:$T,$E$3)&gt;=1,IF(A78=ROUND(INDEX(계산표!$I:$I,$E$3),0),1,0),IF(INDEX(계산표!$T:$T,$E$3)&lt;=0,IF(A78=0,1,0),_xlfn.BINOM.DIST(A78,ROUND(INDEX(계산표!$I:$I,$E$3),0),INDEX(계산표!$T:$T,$E$3),FALSE)))),""))</f>
        <v/>
      </c>
      <c r="C78" s="22" t="str">
        <f>IF(B78="","",INDEX(계산표!$AJ:$AJ,$E$3)*((ROUND(INDEX(계산표!$I:$I,$E$3),0)-A78)+A78*INDEX(계산표!$E:$E,$E$3))*INDEX(계산표!$X:$X,$E$3)*INDEX(계산표!$Z:$Z,$E$3)*설정!$B$25)</f>
        <v/>
      </c>
      <c r="D78" s="22" t="str">
        <f t="shared" si="4"/>
        <v/>
      </c>
      <c r="E78" s="21" t="str">
        <f>IF($E$3="","",IF(A78&lt;=ROUND(INDEX(계산표!$N:$N,$E$3),0),IF(ROUND(INDEX(계산표!$N:$N,$E$3),0)&lt;=0,IF(A78=0,1,""),IF(INDEX(계산표!$U:$U,$E$3)&gt;=1,IF(A78=ROUND(INDEX(계산표!$N:$N,$E$3),0),1,0),IF(INDEX(계산표!$U:$U,$E$3)&lt;=0,IF(A78=0,1,0),_xludf.BINOM.DIST(A78,ROUND(INDEX(계산표!$N:$N,$E$3),0),INDEX(계산표!$U:$U,$E$3),FALSE)))),""))</f>
        <v/>
      </c>
      <c r="F78" s="22" t="str">
        <f>IF(E78="","",INDEX(계산표!$AK:$AK,$E$3)*((ROUND(INDEX(계산표!$N:$N,$E$3),0)-A78)+A78*INDEX(계산표!$E:$E,$E$3))*INDEX(계산표!$Y:$Y,$E$3)*INDEX(계산표!$AA:$AA,$E$3)*설정!$B$25)</f>
        <v/>
      </c>
      <c r="G78" s="22" t="str">
        <f t="shared" si="5"/>
        <v/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>
      <c r="A79" s="15">
        <v>73</v>
      </c>
      <c r="B79" s="21" t="str">
        <f>IF($E$3="","",IF(A79&lt;=ROUND(INDEX(계산표!$I:$I,$E$3),0),IF(ROUND(INDEX(계산표!$I:$I,$E$3),0)&lt;=0,IF(A79=0,1,""),IF(INDEX(계산표!$T:$T,$E$3)&gt;=1,IF(A79=ROUND(INDEX(계산표!$I:$I,$E$3),0),1,0),IF(INDEX(계산표!$T:$T,$E$3)&lt;=0,IF(A79=0,1,0),_xlfn.BINOM.DIST(A79,ROUND(INDEX(계산표!$I:$I,$E$3),0),INDEX(계산표!$T:$T,$E$3),FALSE)))),""))</f>
        <v/>
      </c>
      <c r="C79" s="22" t="str">
        <f>IF(B79="","",INDEX(계산표!$AJ:$AJ,$E$3)*((ROUND(INDEX(계산표!$I:$I,$E$3),0)-A79)+A79*INDEX(계산표!$E:$E,$E$3))*INDEX(계산표!$X:$X,$E$3)*INDEX(계산표!$Z:$Z,$E$3)*설정!$B$25)</f>
        <v/>
      </c>
      <c r="D79" s="22" t="str">
        <f t="shared" si="4"/>
        <v/>
      </c>
      <c r="E79" s="21" t="str">
        <f>IF($E$3="","",IF(A79&lt;=ROUND(INDEX(계산표!$N:$N,$E$3),0),IF(ROUND(INDEX(계산표!$N:$N,$E$3),0)&lt;=0,IF(A79=0,1,""),IF(INDEX(계산표!$U:$U,$E$3)&gt;=1,IF(A79=ROUND(INDEX(계산표!$N:$N,$E$3),0),1,0),IF(INDEX(계산표!$U:$U,$E$3)&lt;=0,IF(A79=0,1,0),_xludf.BINOM.DIST(A79,ROUND(INDEX(계산표!$N:$N,$E$3),0),INDEX(계산표!$U:$U,$E$3),FALSE)))),""))</f>
        <v/>
      </c>
      <c r="F79" s="22" t="str">
        <f>IF(E79="","",INDEX(계산표!$AK:$AK,$E$3)*((ROUND(INDEX(계산표!$N:$N,$E$3),0)-A79)+A79*INDEX(계산표!$E:$E,$E$3))*INDEX(계산표!$Y:$Y,$E$3)*INDEX(계산표!$AA:$AA,$E$3)*설정!$B$25)</f>
        <v/>
      </c>
      <c r="G79" s="22" t="str">
        <f t="shared" si="5"/>
        <v/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>
      <c r="A80" s="15">
        <v>74</v>
      </c>
      <c r="B80" s="21" t="str">
        <f>IF($E$3="","",IF(A80&lt;=ROUND(INDEX(계산표!$I:$I,$E$3),0),IF(ROUND(INDEX(계산표!$I:$I,$E$3),0)&lt;=0,IF(A80=0,1,""),IF(INDEX(계산표!$T:$T,$E$3)&gt;=1,IF(A80=ROUND(INDEX(계산표!$I:$I,$E$3),0),1,0),IF(INDEX(계산표!$T:$T,$E$3)&lt;=0,IF(A80=0,1,0),_xlfn.BINOM.DIST(A80,ROUND(INDEX(계산표!$I:$I,$E$3),0),INDEX(계산표!$T:$T,$E$3),FALSE)))),""))</f>
        <v/>
      </c>
      <c r="C80" s="22" t="str">
        <f>IF(B80="","",INDEX(계산표!$AJ:$AJ,$E$3)*((ROUND(INDEX(계산표!$I:$I,$E$3),0)-A80)+A80*INDEX(계산표!$E:$E,$E$3))*INDEX(계산표!$X:$X,$E$3)*INDEX(계산표!$Z:$Z,$E$3)*설정!$B$25)</f>
        <v/>
      </c>
      <c r="D80" s="22" t="str">
        <f t="shared" si="4"/>
        <v/>
      </c>
      <c r="E80" s="21" t="str">
        <f>IF($E$3="","",IF(A80&lt;=ROUND(INDEX(계산표!$N:$N,$E$3),0),IF(ROUND(INDEX(계산표!$N:$N,$E$3),0)&lt;=0,IF(A80=0,1,""),IF(INDEX(계산표!$U:$U,$E$3)&gt;=1,IF(A80=ROUND(INDEX(계산표!$N:$N,$E$3),0),1,0),IF(INDEX(계산표!$U:$U,$E$3)&lt;=0,IF(A80=0,1,0),_xludf.BINOM.DIST(A80,ROUND(INDEX(계산표!$N:$N,$E$3),0),INDEX(계산표!$U:$U,$E$3),FALSE)))),""))</f>
        <v/>
      </c>
      <c r="F80" s="22" t="str">
        <f>IF(E80="","",INDEX(계산표!$AK:$AK,$E$3)*((ROUND(INDEX(계산표!$N:$N,$E$3),0)-A80)+A80*INDEX(계산표!$E:$E,$E$3))*INDEX(계산표!$Y:$Y,$E$3)*INDEX(계산표!$AA:$AA,$E$3)*설정!$B$25)</f>
        <v/>
      </c>
      <c r="G80" s="22" t="str">
        <f t="shared" si="5"/>
        <v/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>
      <c r="A81" s="15">
        <v>75</v>
      </c>
      <c r="B81" s="21" t="str">
        <f>IF($E$3="","",IF(A81&lt;=ROUND(INDEX(계산표!$I:$I,$E$3),0),IF(ROUND(INDEX(계산표!$I:$I,$E$3),0)&lt;=0,IF(A81=0,1,""),IF(INDEX(계산표!$T:$T,$E$3)&gt;=1,IF(A81=ROUND(INDEX(계산표!$I:$I,$E$3),0),1,0),IF(INDEX(계산표!$T:$T,$E$3)&lt;=0,IF(A81=0,1,0),_xlfn.BINOM.DIST(A81,ROUND(INDEX(계산표!$I:$I,$E$3),0),INDEX(계산표!$T:$T,$E$3),FALSE)))),""))</f>
        <v/>
      </c>
      <c r="C81" s="22" t="str">
        <f>IF(B81="","",INDEX(계산표!$AJ:$AJ,$E$3)*((ROUND(INDEX(계산표!$I:$I,$E$3),0)-A81)+A81*INDEX(계산표!$E:$E,$E$3))*INDEX(계산표!$X:$X,$E$3)*INDEX(계산표!$Z:$Z,$E$3)*설정!$B$25)</f>
        <v/>
      </c>
      <c r="D81" s="22" t="str">
        <f t="shared" si="4"/>
        <v/>
      </c>
      <c r="E81" s="21" t="str">
        <f>IF($E$3="","",IF(A81&lt;=ROUND(INDEX(계산표!$N:$N,$E$3),0),IF(ROUND(INDEX(계산표!$N:$N,$E$3),0)&lt;=0,IF(A81=0,1,""),IF(INDEX(계산표!$U:$U,$E$3)&gt;=1,IF(A81=ROUND(INDEX(계산표!$N:$N,$E$3),0),1,0),IF(INDEX(계산표!$U:$U,$E$3)&lt;=0,IF(A81=0,1,0),_xludf.BINOM.DIST(A81,ROUND(INDEX(계산표!$N:$N,$E$3),0),INDEX(계산표!$U:$U,$E$3),FALSE)))),""))</f>
        <v/>
      </c>
      <c r="F81" s="22" t="str">
        <f>IF(E81="","",INDEX(계산표!$AK:$AK,$E$3)*((ROUND(INDEX(계산표!$N:$N,$E$3),0)-A81)+A81*INDEX(계산표!$E:$E,$E$3))*INDEX(계산표!$Y:$Y,$E$3)*INDEX(계산표!$AA:$AA,$E$3)*설정!$B$25)</f>
        <v/>
      </c>
      <c r="G81" s="22" t="str">
        <f t="shared" si="5"/>
        <v/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>
      <c r="A82" s="15">
        <v>76</v>
      </c>
      <c r="B82" s="21" t="str">
        <f>IF($E$3="","",IF(A82&lt;=ROUND(INDEX(계산표!$I:$I,$E$3),0),IF(ROUND(INDEX(계산표!$I:$I,$E$3),0)&lt;=0,IF(A82=0,1,""),IF(INDEX(계산표!$T:$T,$E$3)&gt;=1,IF(A82=ROUND(INDEX(계산표!$I:$I,$E$3),0),1,0),IF(INDEX(계산표!$T:$T,$E$3)&lt;=0,IF(A82=0,1,0),_xlfn.BINOM.DIST(A82,ROUND(INDEX(계산표!$I:$I,$E$3),0),INDEX(계산표!$T:$T,$E$3),FALSE)))),""))</f>
        <v/>
      </c>
      <c r="C82" s="22" t="str">
        <f>IF(B82="","",INDEX(계산표!$AJ:$AJ,$E$3)*((ROUND(INDEX(계산표!$I:$I,$E$3),0)-A82)+A82*INDEX(계산표!$E:$E,$E$3))*INDEX(계산표!$X:$X,$E$3)*INDEX(계산표!$Z:$Z,$E$3)*설정!$B$25)</f>
        <v/>
      </c>
      <c r="D82" s="22" t="str">
        <f t="shared" si="4"/>
        <v/>
      </c>
      <c r="E82" s="21" t="str">
        <f>IF($E$3="","",IF(A82&lt;=ROUND(INDEX(계산표!$N:$N,$E$3),0),IF(ROUND(INDEX(계산표!$N:$N,$E$3),0)&lt;=0,IF(A82=0,1,""),IF(INDEX(계산표!$U:$U,$E$3)&gt;=1,IF(A82=ROUND(INDEX(계산표!$N:$N,$E$3),0),1,0),IF(INDEX(계산표!$U:$U,$E$3)&lt;=0,IF(A82=0,1,0),_xludf.BINOM.DIST(A82,ROUND(INDEX(계산표!$N:$N,$E$3),0),INDEX(계산표!$U:$U,$E$3),FALSE)))),""))</f>
        <v/>
      </c>
      <c r="F82" s="22" t="str">
        <f>IF(E82="","",INDEX(계산표!$AK:$AK,$E$3)*((ROUND(INDEX(계산표!$N:$N,$E$3),0)-A82)+A82*INDEX(계산표!$E:$E,$E$3))*INDEX(계산표!$Y:$Y,$E$3)*INDEX(계산표!$AA:$AA,$E$3)*설정!$B$25)</f>
        <v/>
      </c>
      <c r="G82" s="22" t="str">
        <f t="shared" si="5"/>
        <v/>
      </c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>
      <c r="A83" s="15">
        <v>77</v>
      </c>
      <c r="B83" s="21" t="str">
        <f>IF($E$3="","",IF(A83&lt;=ROUND(INDEX(계산표!$I:$I,$E$3),0),IF(ROUND(INDEX(계산표!$I:$I,$E$3),0)&lt;=0,IF(A83=0,1,""),IF(INDEX(계산표!$T:$T,$E$3)&gt;=1,IF(A83=ROUND(INDEX(계산표!$I:$I,$E$3),0),1,0),IF(INDEX(계산표!$T:$T,$E$3)&lt;=0,IF(A83=0,1,0),_xlfn.BINOM.DIST(A83,ROUND(INDEX(계산표!$I:$I,$E$3),0),INDEX(계산표!$T:$T,$E$3),FALSE)))),""))</f>
        <v/>
      </c>
      <c r="C83" s="22" t="str">
        <f>IF(B83="","",INDEX(계산표!$AJ:$AJ,$E$3)*((ROUND(INDEX(계산표!$I:$I,$E$3),0)-A83)+A83*INDEX(계산표!$E:$E,$E$3))*INDEX(계산표!$X:$X,$E$3)*INDEX(계산표!$Z:$Z,$E$3)*설정!$B$25)</f>
        <v/>
      </c>
      <c r="D83" s="22" t="str">
        <f t="shared" si="4"/>
        <v/>
      </c>
      <c r="E83" s="21" t="str">
        <f>IF($E$3="","",IF(A83&lt;=ROUND(INDEX(계산표!$N:$N,$E$3),0),IF(ROUND(INDEX(계산표!$N:$N,$E$3),0)&lt;=0,IF(A83=0,1,""),IF(INDEX(계산표!$U:$U,$E$3)&gt;=1,IF(A83=ROUND(INDEX(계산표!$N:$N,$E$3),0),1,0),IF(INDEX(계산표!$U:$U,$E$3)&lt;=0,IF(A83=0,1,0),_xludf.BINOM.DIST(A83,ROUND(INDEX(계산표!$N:$N,$E$3),0),INDEX(계산표!$U:$U,$E$3),FALSE)))),""))</f>
        <v/>
      </c>
      <c r="F83" s="22" t="str">
        <f>IF(E83="","",INDEX(계산표!$AK:$AK,$E$3)*((ROUND(INDEX(계산표!$N:$N,$E$3),0)-A83)+A83*INDEX(계산표!$E:$E,$E$3))*INDEX(계산표!$Y:$Y,$E$3)*INDEX(계산표!$AA:$AA,$E$3)*설정!$B$25)</f>
        <v/>
      </c>
      <c r="G83" s="22" t="str">
        <f t="shared" si="5"/>
        <v/>
      </c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>
      <c r="A84" s="15">
        <v>78</v>
      </c>
      <c r="B84" s="21" t="str">
        <f>IF($E$3="","",IF(A84&lt;=ROUND(INDEX(계산표!$I:$I,$E$3),0),IF(ROUND(INDEX(계산표!$I:$I,$E$3),0)&lt;=0,IF(A84=0,1,""),IF(INDEX(계산표!$T:$T,$E$3)&gt;=1,IF(A84=ROUND(INDEX(계산표!$I:$I,$E$3),0),1,0),IF(INDEX(계산표!$T:$T,$E$3)&lt;=0,IF(A84=0,1,0),_xlfn.BINOM.DIST(A84,ROUND(INDEX(계산표!$I:$I,$E$3),0),INDEX(계산표!$T:$T,$E$3),FALSE)))),""))</f>
        <v/>
      </c>
      <c r="C84" s="22" t="str">
        <f>IF(B84="","",INDEX(계산표!$AJ:$AJ,$E$3)*((ROUND(INDEX(계산표!$I:$I,$E$3),0)-A84)+A84*INDEX(계산표!$E:$E,$E$3))*INDEX(계산표!$X:$X,$E$3)*INDEX(계산표!$Z:$Z,$E$3)*설정!$B$25)</f>
        <v/>
      </c>
      <c r="D84" s="22" t="str">
        <f t="shared" si="4"/>
        <v/>
      </c>
      <c r="E84" s="21" t="str">
        <f>IF($E$3="","",IF(A84&lt;=ROUND(INDEX(계산표!$N:$N,$E$3),0),IF(ROUND(INDEX(계산표!$N:$N,$E$3),0)&lt;=0,IF(A84=0,1,""),IF(INDEX(계산표!$U:$U,$E$3)&gt;=1,IF(A84=ROUND(INDEX(계산표!$N:$N,$E$3),0),1,0),IF(INDEX(계산표!$U:$U,$E$3)&lt;=0,IF(A84=0,1,0),_xludf.BINOM.DIST(A84,ROUND(INDEX(계산표!$N:$N,$E$3),0),INDEX(계산표!$U:$U,$E$3),FALSE)))),""))</f>
        <v/>
      </c>
      <c r="F84" s="22" t="str">
        <f>IF(E84="","",INDEX(계산표!$AK:$AK,$E$3)*((ROUND(INDEX(계산표!$N:$N,$E$3),0)-A84)+A84*INDEX(계산표!$E:$E,$E$3))*INDEX(계산표!$Y:$Y,$E$3)*INDEX(계산표!$AA:$AA,$E$3)*설정!$B$25)</f>
        <v/>
      </c>
      <c r="G84" s="22" t="str">
        <f t="shared" si="5"/>
        <v/>
      </c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>
      <c r="A85" s="15">
        <v>79</v>
      </c>
      <c r="B85" s="21" t="str">
        <f>IF($E$3="","",IF(A85&lt;=ROUND(INDEX(계산표!$I:$I,$E$3),0),IF(ROUND(INDEX(계산표!$I:$I,$E$3),0)&lt;=0,IF(A85=0,1,""),IF(INDEX(계산표!$T:$T,$E$3)&gt;=1,IF(A85=ROUND(INDEX(계산표!$I:$I,$E$3),0),1,0),IF(INDEX(계산표!$T:$T,$E$3)&lt;=0,IF(A85=0,1,0),_xlfn.BINOM.DIST(A85,ROUND(INDEX(계산표!$I:$I,$E$3),0),INDEX(계산표!$T:$T,$E$3),FALSE)))),""))</f>
        <v/>
      </c>
      <c r="C85" s="22" t="str">
        <f>IF(B85="","",INDEX(계산표!$AJ:$AJ,$E$3)*((ROUND(INDEX(계산표!$I:$I,$E$3),0)-A85)+A85*INDEX(계산표!$E:$E,$E$3))*INDEX(계산표!$X:$X,$E$3)*INDEX(계산표!$Z:$Z,$E$3)*설정!$B$25)</f>
        <v/>
      </c>
      <c r="D85" s="22" t="str">
        <f t="shared" si="4"/>
        <v/>
      </c>
      <c r="E85" s="21" t="str">
        <f>IF($E$3="","",IF(A85&lt;=ROUND(INDEX(계산표!$N:$N,$E$3),0),IF(ROUND(INDEX(계산표!$N:$N,$E$3),0)&lt;=0,IF(A85=0,1,""),IF(INDEX(계산표!$U:$U,$E$3)&gt;=1,IF(A85=ROUND(INDEX(계산표!$N:$N,$E$3),0),1,0),IF(INDEX(계산표!$U:$U,$E$3)&lt;=0,IF(A85=0,1,0),_xludf.BINOM.DIST(A85,ROUND(INDEX(계산표!$N:$N,$E$3),0),INDEX(계산표!$U:$U,$E$3),FALSE)))),""))</f>
        <v/>
      </c>
      <c r="F85" s="22" t="str">
        <f>IF(E85="","",INDEX(계산표!$AK:$AK,$E$3)*((ROUND(INDEX(계산표!$N:$N,$E$3),0)-A85)+A85*INDEX(계산표!$E:$E,$E$3))*INDEX(계산표!$Y:$Y,$E$3)*INDEX(계산표!$AA:$AA,$E$3)*설정!$B$25)</f>
        <v/>
      </c>
      <c r="G85" s="22" t="str">
        <f t="shared" si="5"/>
        <v/>
      </c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>
      <c r="A86" s="15">
        <v>80</v>
      </c>
      <c r="B86" s="21" t="str">
        <f>IF($E$3="","",IF(A86&lt;=ROUND(INDEX(계산표!$I:$I,$E$3),0),IF(ROUND(INDEX(계산표!$I:$I,$E$3),0)&lt;=0,IF(A86=0,1,""),IF(INDEX(계산표!$T:$T,$E$3)&gt;=1,IF(A86=ROUND(INDEX(계산표!$I:$I,$E$3),0),1,0),IF(INDEX(계산표!$T:$T,$E$3)&lt;=0,IF(A86=0,1,0),_xlfn.BINOM.DIST(A86,ROUND(INDEX(계산표!$I:$I,$E$3),0),INDEX(계산표!$T:$T,$E$3),FALSE)))),""))</f>
        <v/>
      </c>
      <c r="C86" s="22" t="str">
        <f>IF(B86="","",INDEX(계산표!$AJ:$AJ,$E$3)*((ROUND(INDEX(계산표!$I:$I,$E$3),0)-A86)+A86*INDEX(계산표!$E:$E,$E$3))*INDEX(계산표!$X:$X,$E$3)*INDEX(계산표!$Z:$Z,$E$3)*설정!$B$25)</f>
        <v/>
      </c>
      <c r="D86" s="22" t="str">
        <f t="shared" si="4"/>
        <v/>
      </c>
      <c r="E86" s="21" t="str">
        <f>IF($E$3="","",IF(A86&lt;=ROUND(INDEX(계산표!$N:$N,$E$3),0),IF(ROUND(INDEX(계산표!$N:$N,$E$3),0)&lt;=0,IF(A86=0,1,""),IF(INDEX(계산표!$U:$U,$E$3)&gt;=1,IF(A86=ROUND(INDEX(계산표!$N:$N,$E$3),0),1,0),IF(INDEX(계산표!$U:$U,$E$3)&lt;=0,IF(A86=0,1,0),_xludf.BINOM.DIST(A86,ROUND(INDEX(계산표!$N:$N,$E$3),0),INDEX(계산표!$U:$U,$E$3),FALSE)))),""))</f>
        <v/>
      </c>
      <c r="F86" s="22" t="str">
        <f>IF(E86="","",INDEX(계산표!$AK:$AK,$E$3)*((ROUND(INDEX(계산표!$N:$N,$E$3),0)-A86)+A86*INDEX(계산표!$E:$E,$E$3))*INDEX(계산표!$Y:$Y,$E$3)*INDEX(계산표!$AA:$AA,$E$3)*설정!$B$25)</f>
        <v/>
      </c>
      <c r="G86" s="22" t="str">
        <f t="shared" si="5"/>
        <v/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>
      <c r="A87" s="15">
        <v>81</v>
      </c>
      <c r="B87" s="21" t="str">
        <f>IF($E$3="","",IF(A87&lt;=ROUND(INDEX(계산표!$I:$I,$E$3),0),IF(ROUND(INDEX(계산표!$I:$I,$E$3),0)&lt;=0,IF(A87=0,1,""),IF(INDEX(계산표!$T:$T,$E$3)&gt;=1,IF(A87=ROUND(INDEX(계산표!$I:$I,$E$3),0),1,0),IF(INDEX(계산표!$T:$T,$E$3)&lt;=0,IF(A87=0,1,0),_xlfn.BINOM.DIST(A87,ROUND(INDEX(계산표!$I:$I,$E$3),0),INDEX(계산표!$T:$T,$E$3),FALSE)))),""))</f>
        <v/>
      </c>
      <c r="C87" s="22" t="str">
        <f>IF(B87="","",INDEX(계산표!$AJ:$AJ,$E$3)*((ROUND(INDEX(계산표!$I:$I,$E$3),0)-A87)+A87*INDEX(계산표!$E:$E,$E$3))*INDEX(계산표!$X:$X,$E$3)*INDEX(계산표!$Z:$Z,$E$3)*설정!$B$25)</f>
        <v/>
      </c>
      <c r="D87" s="22" t="str">
        <f t="shared" si="4"/>
        <v/>
      </c>
      <c r="E87" s="21" t="str">
        <f>IF($E$3="","",IF(A87&lt;=ROUND(INDEX(계산표!$N:$N,$E$3),0),IF(ROUND(INDEX(계산표!$N:$N,$E$3),0)&lt;=0,IF(A87=0,1,""),IF(INDEX(계산표!$U:$U,$E$3)&gt;=1,IF(A87=ROUND(INDEX(계산표!$N:$N,$E$3),0),1,0),IF(INDEX(계산표!$U:$U,$E$3)&lt;=0,IF(A87=0,1,0),_xludf.BINOM.DIST(A87,ROUND(INDEX(계산표!$N:$N,$E$3),0),INDEX(계산표!$U:$U,$E$3),FALSE)))),""))</f>
        <v/>
      </c>
      <c r="F87" s="22" t="str">
        <f>IF(E87="","",INDEX(계산표!$AK:$AK,$E$3)*((ROUND(INDEX(계산표!$N:$N,$E$3),0)-A87)+A87*INDEX(계산표!$E:$E,$E$3))*INDEX(계산표!$Y:$Y,$E$3)*INDEX(계산표!$AA:$AA,$E$3)*설정!$B$25)</f>
        <v/>
      </c>
      <c r="G87" s="22" t="str">
        <f t="shared" si="5"/>
        <v/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>
      <c r="A88" s="15">
        <v>82</v>
      </c>
      <c r="B88" s="21" t="str">
        <f>IF($E$3="","",IF(A88&lt;=ROUND(INDEX(계산표!$I:$I,$E$3),0),IF(ROUND(INDEX(계산표!$I:$I,$E$3),0)&lt;=0,IF(A88=0,1,""),IF(INDEX(계산표!$T:$T,$E$3)&gt;=1,IF(A88=ROUND(INDEX(계산표!$I:$I,$E$3),0),1,0),IF(INDEX(계산표!$T:$T,$E$3)&lt;=0,IF(A88=0,1,0),_xlfn.BINOM.DIST(A88,ROUND(INDEX(계산표!$I:$I,$E$3),0),INDEX(계산표!$T:$T,$E$3),FALSE)))),""))</f>
        <v/>
      </c>
      <c r="C88" s="22" t="str">
        <f>IF(B88="","",INDEX(계산표!$AJ:$AJ,$E$3)*((ROUND(INDEX(계산표!$I:$I,$E$3),0)-A88)+A88*INDEX(계산표!$E:$E,$E$3))*INDEX(계산표!$X:$X,$E$3)*INDEX(계산표!$Z:$Z,$E$3)*설정!$B$25)</f>
        <v/>
      </c>
      <c r="D88" s="22" t="str">
        <f t="shared" si="4"/>
        <v/>
      </c>
      <c r="E88" s="21" t="str">
        <f>IF($E$3="","",IF(A88&lt;=ROUND(INDEX(계산표!$N:$N,$E$3),0),IF(ROUND(INDEX(계산표!$N:$N,$E$3),0)&lt;=0,IF(A88=0,1,""),IF(INDEX(계산표!$U:$U,$E$3)&gt;=1,IF(A88=ROUND(INDEX(계산표!$N:$N,$E$3),0),1,0),IF(INDEX(계산표!$U:$U,$E$3)&lt;=0,IF(A88=0,1,0),_xludf.BINOM.DIST(A88,ROUND(INDEX(계산표!$N:$N,$E$3),0),INDEX(계산표!$U:$U,$E$3),FALSE)))),""))</f>
        <v/>
      </c>
      <c r="F88" s="22" t="str">
        <f>IF(E88="","",INDEX(계산표!$AK:$AK,$E$3)*((ROUND(INDEX(계산표!$N:$N,$E$3),0)-A88)+A88*INDEX(계산표!$E:$E,$E$3))*INDEX(계산표!$Y:$Y,$E$3)*INDEX(계산표!$AA:$AA,$E$3)*설정!$B$25)</f>
        <v/>
      </c>
      <c r="G88" s="22" t="str">
        <f t="shared" si="5"/>
        <v/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>
      <c r="A89" s="15">
        <v>83</v>
      </c>
      <c r="B89" s="21" t="str">
        <f>IF($E$3="","",IF(A89&lt;=ROUND(INDEX(계산표!$I:$I,$E$3),0),IF(ROUND(INDEX(계산표!$I:$I,$E$3),0)&lt;=0,IF(A89=0,1,""),IF(INDEX(계산표!$T:$T,$E$3)&gt;=1,IF(A89=ROUND(INDEX(계산표!$I:$I,$E$3),0),1,0),IF(INDEX(계산표!$T:$T,$E$3)&lt;=0,IF(A89=0,1,0),_xlfn.BINOM.DIST(A89,ROUND(INDEX(계산표!$I:$I,$E$3),0),INDEX(계산표!$T:$T,$E$3),FALSE)))),""))</f>
        <v/>
      </c>
      <c r="C89" s="22" t="str">
        <f>IF(B89="","",INDEX(계산표!$AJ:$AJ,$E$3)*((ROUND(INDEX(계산표!$I:$I,$E$3),0)-A89)+A89*INDEX(계산표!$E:$E,$E$3))*INDEX(계산표!$X:$X,$E$3)*INDEX(계산표!$Z:$Z,$E$3)*설정!$B$25)</f>
        <v/>
      </c>
      <c r="D89" s="22" t="str">
        <f t="shared" si="4"/>
        <v/>
      </c>
      <c r="E89" s="21" t="str">
        <f>IF($E$3="","",IF(A89&lt;=ROUND(INDEX(계산표!$N:$N,$E$3),0),IF(ROUND(INDEX(계산표!$N:$N,$E$3),0)&lt;=0,IF(A89=0,1,""),IF(INDEX(계산표!$U:$U,$E$3)&gt;=1,IF(A89=ROUND(INDEX(계산표!$N:$N,$E$3),0),1,0),IF(INDEX(계산표!$U:$U,$E$3)&lt;=0,IF(A89=0,1,0),_xludf.BINOM.DIST(A89,ROUND(INDEX(계산표!$N:$N,$E$3),0),INDEX(계산표!$U:$U,$E$3),FALSE)))),""))</f>
        <v/>
      </c>
      <c r="F89" s="22" t="str">
        <f>IF(E89="","",INDEX(계산표!$AK:$AK,$E$3)*((ROUND(INDEX(계산표!$N:$N,$E$3),0)-A89)+A89*INDEX(계산표!$E:$E,$E$3))*INDEX(계산표!$Y:$Y,$E$3)*INDEX(계산표!$AA:$AA,$E$3)*설정!$B$25)</f>
        <v/>
      </c>
      <c r="G89" s="22" t="str">
        <f t="shared" si="5"/>
        <v/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>
      <c r="A90" s="15">
        <v>84</v>
      </c>
      <c r="B90" s="21" t="str">
        <f>IF($E$3="","",IF(A90&lt;=ROUND(INDEX(계산표!$I:$I,$E$3),0),IF(ROUND(INDEX(계산표!$I:$I,$E$3),0)&lt;=0,IF(A90=0,1,""),IF(INDEX(계산표!$T:$T,$E$3)&gt;=1,IF(A90=ROUND(INDEX(계산표!$I:$I,$E$3),0),1,0),IF(INDEX(계산표!$T:$T,$E$3)&lt;=0,IF(A90=0,1,0),_xlfn.BINOM.DIST(A90,ROUND(INDEX(계산표!$I:$I,$E$3),0),INDEX(계산표!$T:$T,$E$3),FALSE)))),""))</f>
        <v/>
      </c>
      <c r="C90" s="22" t="str">
        <f>IF(B90="","",INDEX(계산표!$AJ:$AJ,$E$3)*((ROUND(INDEX(계산표!$I:$I,$E$3),0)-A90)+A90*INDEX(계산표!$E:$E,$E$3))*INDEX(계산표!$X:$X,$E$3)*INDEX(계산표!$Z:$Z,$E$3)*설정!$B$25)</f>
        <v/>
      </c>
      <c r="D90" s="22" t="str">
        <f t="shared" si="4"/>
        <v/>
      </c>
      <c r="E90" s="21" t="str">
        <f>IF($E$3="","",IF(A90&lt;=ROUND(INDEX(계산표!$N:$N,$E$3),0),IF(ROUND(INDEX(계산표!$N:$N,$E$3),0)&lt;=0,IF(A90=0,1,""),IF(INDEX(계산표!$U:$U,$E$3)&gt;=1,IF(A90=ROUND(INDEX(계산표!$N:$N,$E$3),0),1,0),IF(INDEX(계산표!$U:$U,$E$3)&lt;=0,IF(A90=0,1,0),_xludf.BINOM.DIST(A90,ROUND(INDEX(계산표!$N:$N,$E$3),0),INDEX(계산표!$U:$U,$E$3),FALSE)))),""))</f>
        <v/>
      </c>
      <c r="F90" s="22" t="str">
        <f>IF(E90="","",INDEX(계산표!$AK:$AK,$E$3)*((ROUND(INDEX(계산표!$N:$N,$E$3),0)-A90)+A90*INDEX(계산표!$E:$E,$E$3))*INDEX(계산표!$Y:$Y,$E$3)*INDEX(계산표!$AA:$AA,$E$3)*설정!$B$25)</f>
        <v/>
      </c>
      <c r="G90" s="22" t="str">
        <f t="shared" si="5"/>
        <v/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>
      <c r="A91" s="15">
        <v>85</v>
      </c>
      <c r="B91" s="21" t="str">
        <f>IF($E$3="","",IF(A91&lt;=ROUND(INDEX(계산표!$I:$I,$E$3),0),IF(ROUND(INDEX(계산표!$I:$I,$E$3),0)&lt;=0,IF(A91=0,1,""),IF(INDEX(계산표!$T:$T,$E$3)&gt;=1,IF(A91=ROUND(INDEX(계산표!$I:$I,$E$3),0),1,0),IF(INDEX(계산표!$T:$T,$E$3)&lt;=0,IF(A91=0,1,0),_xlfn.BINOM.DIST(A91,ROUND(INDEX(계산표!$I:$I,$E$3),0),INDEX(계산표!$T:$T,$E$3),FALSE)))),""))</f>
        <v/>
      </c>
      <c r="C91" s="22" t="str">
        <f>IF(B91="","",INDEX(계산표!$AJ:$AJ,$E$3)*((ROUND(INDEX(계산표!$I:$I,$E$3),0)-A91)+A91*INDEX(계산표!$E:$E,$E$3))*INDEX(계산표!$X:$X,$E$3)*INDEX(계산표!$Z:$Z,$E$3)*설정!$B$25)</f>
        <v/>
      </c>
      <c r="D91" s="22" t="str">
        <f t="shared" si="4"/>
        <v/>
      </c>
      <c r="E91" s="21" t="str">
        <f>IF($E$3="","",IF(A91&lt;=ROUND(INDEX(계산표!$N:$N,$E$3),0),IF(ROUND(INDEX(계산표!$N:$N,$E$3),0)&lt;=0,IF(A91=0,1,""),IF(INDEX(계산표!$U:$U,$E$3)&gt;=1,IF(A91=ROUND(INDEX(계산표!$N:$N,$E$3),0),1,0),IF(INDEX(계산표!$U:$U,$E$3)&lt;=0,IF(A91=0,1,0),_xludf.BINOM.DIST(A91,ROUND(INDEX(계산표!$N:$N,$E$3),0),INDEX(계산표!$U:$U,$E$3),FALSE)))),""))</f>
        <v/>
      </c>
      <c r="F91" s="22" t="str">
        <f>IF(E91="","",INDEX(계산표!$AK:$AK,$E$3)*((ROUND(INDEX(계산표!$N:$N,$E$3),0)-A91)+A91*INDEX(계산표!$E:$E,$E$3))*INDEX(계산표!$Y:$Y,$E$3)*INDEX(계산표!$AA:$AA,$E$3)*설정!$B$25)</f>
        <v/>
      </c>
      <c r="G91" s="22" t="str">
        <f t="shared" si="5"/>
        <v/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>
      <c r="A92" s="15">
        <v>86</v>
      </c>
      <c r="B92" s="21" t="str">
        <f>IF($E$3="","",IF(A92&lt;=ROUND(INDEX(계산표!$I:$I,$E$3),0),IF(ROUND(INDEX(계산표!$I:$I,$E$3),0)&lt;=0,IF(A92=0,1,""),IF(INDEX(계산표!$T:$T,$E$3)&gt;=1,IF(A92=ROUND(INDEX(계산표!$I:$I,$E$3),0),1,0),IF(INDEX(계산표!$T:$T,$E$3)&lt;=0,IF(A92=0,1,0),_xlfn.BINOM.DIST(A92,ROUND(INDEX(계산표!$I:$I,$E$3),0),INDEX(계산표!$T:$T,$E$3),FALSE)))),""))</f>
        <v/>
      </c>
      <c r="C92" s="22" t="str">
        <f>IF(B92="","",INDEX(계산표!$AJ:$AJ,$E$3)*((ROUND(INDEX(계산표!$I:$I,$E$3),0)-A92)+A92*INDEX(계산표!$E:$E,$E$3))*INDEX(계산표!$X:$X,$E$3)*INDEX(계산표!$Z:$Z,$E$3)*설정!$B$25)</f>
        <v/>
      </c>
      <c r="D92" s="22" t="str">
        <f t="shared" si="4"/>
        <v/>
      </c>
      <c r="E92" s="21" t="str">
        <f>IF($E$3="","",IF(A92&lt;=ROUND(INDEX(계산표!$N:$N,$E$3),0),IF(ROUND(INDEX(계산표!$N:$N,$E$3),0)&lt;=0,IF(A92=0,1,""),IF(INDEX(계산표!$U:$U,$E$3)&gt;=1,IF(A92=ROUND(INDEX(계산표!$N:$N,$E$3),0),1,0),IF(INDEX(계산표!$U:$U,$E$3)&lt;=0,IF(A92=0,1,0),_xludf.BINOM.DIST(A92,ROUND(INDEX(계산표!$N:$N,$E$3),0),INDEX(계산표!$U:$U,$E$3),FALSE)))),""))</f>
        <v/>
      </c>
      <c r="F92" s="22" t="str">
        <f>IF(E92="","",INDEX(계산표!$AK:$AK,$E$3)*((ROUND(INDEX(계산표!$N:$N,$E$3),0)-A92)+A92*INDEX(계산표!$E:$E,$E$3))*INDEX(계산표!$Y:$Y,$E$3)*INDEX(계산표!$AA:$AA,$E$3)*설정!$B$25)</f>
        <v/>
      </c>
      <c r="G92" s="22" t="str">
        <f t="shared" si="5"/>
        <v/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>
      <c r="A93" s="15">
        <v>87</v>
      </c>
      <c r="B93" s="21" t="str">
        <f>IF($E$3="","",IF(A93&lt;=ROUND(INDEX(계산표!$I:$I,$E$3),0),IF(ROUND(INDEX(계산표!$I:$I,$E$3),0)&lt;=0,IF(A93=0,1,""),IF(INDEX(계산표!$T:$T,$E$3)&gt;=1,IF(A93=ROUND(INDEX(계산표!$I:$I,$E$3),0),1,0),IF(INDEX(계산표!$T:$T,$E$3)&lt;=0,IF(A93=0,1,0),_xlfn.BINOM.DIST(A93,ROUND(INDEX(계산표!$I:$I,$E$3),0),INDEX(계산표!$T:$T,$E$3),FALSE)))),""))</f>
        <v/>
      </c>
      <c r="C93" s="22" t="str">
        <f>IF(B93="","",INDEX(계산표!$AJ:$AJ,$E$3)*((ROUND(INDEX(계산표!$I:$I,$E$3),0)-A93)+A93*INDEX(계산표!$E:$E,$E$3))*INDEX(계산표!$X:$X,$E$3)*INDEX(계산표!$Z:$Z,$E$3)*설정!$B$25)</f>
        <v/>
      </c>
      <c r="D93" s="22" t="str">
        <f t="shared" si="4"/>
        <v/>
      </c>
      <c r="E93" s="21" t="str">
        <f>IF($E$3="","",IF(A93&lt;=ROUND(INDEX(계산표!$N:$N,$E$3),0),IF(ROUND(INDEX(계산표!$N:$N,$E$3),0)&lt;=0,IF(A93=0,1,""),IF(INDEX(계산표!$U:$U,$E$3)&gt;=1,IF(A93=ROUND(INDEX(계산표!$N:$N,$E$3),0),1,0),IF(INDEX(계산표!$U:$U,$E$3)&lt;=0,IF(A93=0,1,0),_xludf.BINOM.DIST(A93,ROUND(INDEX(계산표!$N:$N,$E$3),0),INDEX(계산표!$U:$U,$E$3),FALSE)))),""))</f>
        <v/>
      </c>
      <c r="F93" s="22" t="str">
        <f>IF(E93="","",INDEX(계산표!$AK:$AK,$E$3)*((ROUND(INDEX(계산표!$N:$N,$E$3),0)-A93)+A93*INDEX(계산표!$E:$E,$E$3))*INDEX(계산표!$Y:$Y,$E$3)*INDEX(계산표!$AA:$AA,$E$3)*설정!$B$25)</f>
        <v/>
      </c>
      <c r="G93" s="22" t="str">
        <f t="shared" si="5"/>
        <v/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>
      <c r="A94" s="15">
        <v>88</v>
      </c>
      <c r="B94" s="21" t="str">
        <f>IF($E$3="","",IF(A94&lt;=ROUND(INDEX(계산표!$I:$I,$E$3),0),IF(ROUND(INDEX(계산표!$I:$I,$E$3),0)&lt;=0,IF(A94=0,1,""),IF(INDEX(계산표!$T:$T,$E$3)&gt;=1,IF(A94=ROUND(INDEX(계산표!$I:$I,$E$3),0),1,0),IF(INDEX(계산표!$T:$T,$E$3)&lt;=0,IF(A94=0,1,0),_xlfn.BINOM.DIST(A94,ROUND(INDEX(계산표!$I:$I,$E$3),0),INDEX(계산표!$T:$T,$E$3),FALSE)))),""))</f>
        <v/>
      </c>
      <c r="C94" s="22" t="str">
        <f>IF(B94="","",INDEX(계산표!$AJ:$AJ,$E$3)*((ROUND(INDEX(계산표!$I:$I,$E$3),0)-A94)+A94*INDEX(계산표!$E:$E,$E$3))*INDEX(계산표!$X:$X,$E$3)*INDEX(계산표!$Z:$Z,$E$3)*설정!$B$25)</f>
        <v/>
      </c>
      <c r="D94" s="22" t="str">
        <f t="shared" si="4"/>
        <v/>
      </c>
      <c r="E94" s="21" t="str">
        <f>IF($E$3="","",IF(A94&lt;=ROUND(INDEX(계산표!$N:$N,$E$3),0),IF(ROUND(INDEX(계산표!$N:$N,$E$3),0)&lt;=0,IF(A94=0,1,""),IF(INDEX(계산표!$U:$U,$E$3)&gt;=1,IF(A94=ROUND(INDEX(계산표!$N:$N,$E$3),0),1,0),IF(INDEX(계산표!$U:$U,$E$3)&lt;=0,IF(A94=0,1,0),_xludf.BINOM.DIST(A94,ROUND(INDEX(계산표!$N:$N,$E$3),0),INDEX(계산표!$U:$U,$E$3),FALSE)))),""))</f>
        <v/>
      </c>
      <c r="F94" s="22" t="str">
        <f>IF(E94="","",INDEX(계산표!$AK:$AK,$E$3)*((ROUND(INDEX(계산표!$N:$N,$E$3),0)-A94)+A94*INDEX(계산표!$E:$E,$E$3))*INDEX(계산표!$Y:$Y,$E$3)*INDEX(계산표!$AA:$AA,$E$3)*설정!$B$25)</f>
        <v/>
      </c>
      <c r="G94" s="22" t="str">
        <f t="shared" si="5"/>
        <v/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>
      <c r="A95" s="15">
        <v>89</v>
      </c>
      <c r="B95" s="21" t="str">
        <f>IF($E$3="","",IF(A95&lt;=ROUND(INDEX(계산표!$I:$I,$E$3),0),IF(ROUND(INDEX(계산표!$I:$I,$E$3),0)&lt;=0,IF(A95=0,1,""),IF(INDEX(계산표!$T:$T,$E$3)&gt;=1,IF(A95=ROUND(INDEX(계산표!$I:$I,$E$3),0),1,0),IF(INDEX(계산표!$T:$T,$E$3)&lt;=0,IF(A95=0,1,0),_xlfn.BINOM.DIST(A95,ROUND(INDEX(계산표!$I:$I,$E$3),0),INDEX(계산표!$T:$T,$E$3),FALSE)))),""))</f>
        <v/>
      </c>
      <c r="C95" s="22" t="str">
        <f>IF(B95="","",INDEX(계산표!$AJ:$AJ,$E$3)*((ROUND(INDEX(계산표!$I:$I,$E$3),0)-A95)+A95*INDEX(계산표!$E:$E,$E$3))*INDEX(계산표!$X:$X,$E$3)*INDEX(계산표!$Z:$Z,$E$3)*설정!$B$25)</f>
        <v/>
      </c>
      <c r="D95" s="22" t="str">
        <f t="shared" si="4"/>
        <v/>
      </c>
      <c r="E95" s="21" t="str">
        <f>IF($E$3="","",IF(A95&lt;=ROUND(INDEX(계산표!$N:$N,$E$3),0),IF(ROUND(INDEX(계산표!$N:$N,$E$3),0)&lt;=0,IF(A95=0,1,""),IF(INDEX(계산표!$U:$U,$E$3)&gt;=1,IF(A95=ROUND(INDEX(계산표!$N:$N,$E$3),0),1,0),IF(INDEX(계산표!$U:$U,$E$3)&lt;=0,IF(A95=0,1,0),_xludf.BINOM.DIST(A95,ROUND(INDEX(계산표!$N:$N,$E$3),0),INDEX(계산표!$U:$U,$E$3),FALSE)))),""))</f>
        <v/>
      </c>
      <c r="F95" s="22" t="str">
        <f>IF(E95="","",INDEX(계산표!$AK:$AK,$E$3)*((ROUND(INDEX(계산표!$N:$N,$E$3),0)-A95)+A95*INDEX(계산표!$E:$E,$E$3))*INDEX(계산표!$Y:$Y,$E$3)*INDEX(계산표!$AA:$AA,$E$3)*설정!$B$25)</f>
        <v/>
      </c>
      <c r="G95" s="22" t="str">
        <f t="shared" si="5"/>
        <v/>
      </c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>
      <c r="A96" s="15">
        <v>90</v>
      </c>
      <c r="B96" s="21" t="str">
        <f>IF($E$3="","",IF(A96&lt;=ROUND(INDEX(계산표!$I:$I,$E$3),0),IF(ROUND(INDEX(계산표!$I:$I,$E$3),0)&lt;=0,IF(A96=0,1,""),IF(INDEX(계산표!$T:$T,$E$3)&gt;=1,IF(A96=ROUND(INDEX(계산표!$I:$I,$E$3),0),1,0),IF(INDEX(계산표!$T:$T,$E$3)&lt;=0,IF(A96=0,1,0),_xlfn.BINOM.DIST(A96,ROUND(INDEX(계산표!$I:$I,$E$3),0),INDEX(계산표!$T:$T,$E$3),FALSE)))),""))</f>
        <v/>
      </c>
      <c r="C96" s="22" t="str">
        <f>IF(B96="","",INDEX(계산표!$AJ:$AJ,$E$3)*((ROUND(INDEX(계산표!$I:$I,$E$3),0)-A96)+A96*INDEX(계산표!$E:$E,$E$3))*INDEX(계산표!$X:$X,$E$3)*INDEX(계산표!$Z:$Z,$E$3)*설정!$B$25)</f>
        <v/>
      </c>
      <c r="D96" s="22" t="str">
        <f t="shared" si="4"/>
        <v/>
      </c>
      <c r="E96" s="21" t="str">
        <f>IF($E$3="","",IF(A96&lt;=ROUND(INDEX(계산표!$N:$N,$E$3),0),IF(ROUND(INDEX(계산표!$N:$N,$E$3),0)&lt;=0,IF(A96=0,1,""),IF(INDEX(계산표!$U:$U,$E$3)&gt;=1,IF(A96=ROUND(INDEX(계산표!$N:$N,$E$3),0),1,0),IF(INDEX(계산표!$U:$U,$E$3)&lt;=0,IF(A96=0,1,0),_xludf.BINOM.DIST(A96,ROUND(INDEX(계산표!$N:$N,$E$3),0),INDEX(계산표!$U:$U,$E$3),FALSE)))),""))</f>
        <v/>
      </c>
      <c r="F96" s="22" t="str">
        <f>IF(E96="","",INDEX(계산표!$AK:$AK,$E$3)*((ROUND(INDEX(계산표!$N:$N,$E$3),0)-A96)+A96*INDEX(계산표!$E:$E,$E$3))*INDEX(계산표!$Y:$Y,$E$3)*INDEX(계산표!$AA:$AA,$E$3)*설정!$B$25)</f>
        <v/>
      </c>
      <c r="G96" s="22" t="str">
        <f t="shared" si="5"/>
        <v/>
      </c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>
      <c r="A97" s="15">
        <v>91</v>
      </c>
      <c r="B97" s="21" t="str">
        <f>IF($E$3="","",IF(A97&lt;=ROUND(INDEX(계산표!$I:$I,$E$3),0),IF(ROUND(INDEX(계산표!$I:$I,$E$3),0)&lt;=0,IF(A97=0,1,""),IF(INDEX(계산표!$T:$T,$E$3)&gt;=1,IF(A97=ROUND(INDEX(계산표!$I:$I,$E$3),0),1,0),IF(INDEX(계산표!$T:$T,$E$3)&lt;=0,IF(A97=0,1,0),_xlfn.BINOM.DIST(A97,ROUND(INDEX(계산표!$I:$I,$E$3),0),INDEX(계산표!$T:$T,$E$3),FALSE)))),""))</f>
        <v/>
      </c>
      <c r="C97" s="22" t="str">
        <f>IF(B97="","",INDEX(계산표!$AJ:$AJ,$E$3)*((ROUND(INDEX(계산표!$I:$I,$E$3),0)-A97)+A97*INDEX(계산표!$E:$E,$E$3))*INDEX(계산표!$X:$X,$E$3)*INDEX(계산표!$Z:$Z,$E$3)*설정!$B$25)</f>
        <v/>
      </c>
      <c r="D97" s="22" t="str">
        <f t="shared" si="4"/>
        <v/>
      </c>
      <c r="E97" s="21" t="str">
        <f>IF($E$3="","",IF(A97&lt;=ROUND(INDEX(계산표!$N:$N,$E$3),0),IF(ROUND(INDEX(계산표!$N:$N,$E$3),0)&lt;=0,IF(A97=0,1,""),IF(INDEX(계산표!$U:$U,$E$3)&gt;=1,IF(A97=ROUND(INDEX(계산표!$N:$N,$E$3),0),1,0),IF(INDEX(계산표!$U:$U,$E$3)&lt;=0,IF(A97=0,1,0),_xludf.BINOM.DIST(A97,ROUND(INDEX(계산표!$N:$N,$E$3),0),INDEX(계산표!$U:$U,$E$3),FALSE)))),""))</f>
        <v/>
      </c>
      <c r="F97" s="22" t="str">
        <f>IF(E97="","",INDEX(계산표!$AK:$AK,$E$3)*((ROUND(INDEX(계산표!$N:$N,$E$3),0)-A97)+A97*INDEX(계산표!$E:$E,$E$3))*INDEX(계산표!$Y:$Y,$E$3)*INDEX(계산표!$AA:$AA,$E$3)*설정!$B$25)</f>
        <v/>
      </c>
      <c r="G97" s="22" t="str">
        <f t="shared" si="5"/>
        <v/>
      </c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>
      <c r="A98" s="15">
        <v>92</v>
      </c>
      <c r="B98" s="21" t="str">
        <f>IF($E$3="","",IF(A98&lt;=ROUND(INDEX(계산표!$I:$I,$E$3),0),IF(ROUND(INDEX(계산표!$I:$I,$E$3),0)&lt;=0,IF(A98=0,1,""),IF(INDEX(계산표!$T:$T,$E$3)&gt;=1,IF(A98=ROUND(INDEX(계산표!$I:$I,$E$3),0),1,0),IF(INDEX(계산표!$T:$T,$E$3)&lt;=0,IF(A98=0,1,0),_xlfn.BINOM.DIST(A98,ROUND(INDEX(계산표!$I:$I,$E$3),0),INDEX(계산표!$T:$T,$E$3),FALSE)))),""))</f>
        <v/>
      </c>
      <c r="C98" s="22" t="str">
        <f>IF(B98="","",INDEX(계산표!$AJ:$AJ,$E$3)*((ROUND(INDEX(계산표!$I:$I,$E$3),0)-A98)+A98*INDEX(계산표!$E:$E,$E$3))*INDEX(계산표!$X:$X,$E$3)*INDEX(계산표!$Z:$Z,$E$3)*설정!$B$25)</f>
        <v/>
      </c>
      <c r="D98" s="22" t="str">
        <f t="shared" si="4"/>
        <v/>
      </c>
      <c r="E98" s="21" t="str">
        <f>IF($E$3="","",IF(A98&lt;=ROUND(INDEX(계산표!$N:$N,$E$3),0),IF(ROUND(INDEX(계산표!$N:$N,$E$3),0)&lt;=0,IF(A98=0,1,""),IF(INDEX(계산표!$U:$U,$E$3)&gt;=1,IF(A98=ROUND(INDEX(계산표!$N:$N,$E$3),0),1,0),IF(INDEX(계산표!$U:$U,$E$3)&lt;=0,IF(A98=0,1,0),_xludf.BINOM.DIST(A98,ROUND(INDEX(계산표!$N:$N,$E$3),0),INDEX(계산표!$U:$U,$E$3),FALSE)))),""))</f>
        <v/>
      </c>
      <c r="F98" s="22" t="str">
        <f>IF(E98="","",INDEX(계산표!$AK:$AK,$E$3)*((ROUND(INDEX(계산표!$N:$N,$E$3),0)-A98)+A98*INDEX(계산표!$E:$E,$E$3))*INDEX(계산표!$Y:$Y,$E$3)*INDEX(계산표!$AA:$AA,$E$3)*설정!$B$25)</f>
        <v/>
      </c>
      <c r="G98" s="22" t="str">
        <f t="shared" si="5"/>
        <v/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>
      <c r="A99" s="15">
        <v>93</v>
      </c>
      <c r="B99" s="21" t="str">
        <f>IF($E$3="","",IF(A99&lt;=ROUND(INDEX(계산표!$I:$I,$E$3),0),IF(ROUND(INDEX(계산표!$I:$I,$E$3),0)&lt;=0,IF(A99=0,1,""),IF(INDEX(계산표!$T:$T,$E$3)&gt;=1,IF(A99=ROUND(INDEX(계산표!$I:$I,$E$3),0),1,0),IF(INDEX(계산표!$T:$T,$E$3)&lt;=0,IF(A99=0,1,0),_xlfn.BINOM.DIST(A99,ROUND(INDEX(계산표!$I:$I,$E$3),0),INDEX(계산표!$T:$T,$E$3),FALSE)))),""))</f>
        <v/>
      </c>
      <c r="C99" s="22" t="str">
        <f>IF(B99="","",INDEX(계산표!$AJ:$AJ,$E$3)*((ROUND(INDEX(계산표!$I:$I,$E$3),0)-A99)+A99*INDEX(계산표!$E:$E,$E$3))*INDEX(계산표!$X:$X,$E$3)*INDEX(계산표!$Z:$Z,$E$3)*설정!$B$25)</f>
        <v/>
      </c>
      <c r="D99" s="22" t="str">
        <f t="shared" si="4"/>
        <v/>
      </c>
      <c r="E99" s="21" t="str">
        <f>IF($E$3="","",IF(A99&lt;=ROUND(INDEX(계산표!$N:$N,$E$3),0),IF(ROUND(INDEX(계산표!$N:$N,$E$3),0)&lt;=0,IF(A99=0,1,""),IF(INDEX(계산표!$U:$U,$E$3)&gt;=1,IF(A99=ROUND(INDEX(계산표!$N:$N,$E$3),0),1,0),IF(INDEX(계산표!$U:$U,$E$3)&lt;=0,IF(A99=0,1,0),_xludf.BINOM.DIST(A99,ROUND(INDEX(계산표!$N:$N,$E$3),0),INDEX(계산표!$U:$U,$E$3),FALSE)))),""))</f>
        <v/>
      </c>
      <c r="F99" s="22" t="str">
        <f>IF(E99="","",INDEX(계산표!$AK:$AK,$E$3)*((ROUND(INDEX(계산표!$N:$N,$E$3),0)-A99)+A99*INDEX(계산표!$E:$E,$E$3))*INDEX(계산표!$Y:$Y,$E$3)*INDEX(계산표!$AA:$AA,$E$3)*설정!$B$25)</f>
        <v/>
      </c>
      <c r="G99" s="22" t="str">
        <f t="shared" si="5"/>
        <v/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>
      <c r="A100" s="15">
        <v>94</v>
      </c>
      <c r="B100" s="21" t="str">
        <f>IF($E$3="","",IF(A100&lt;=ROUND(INDEX(계산표!$I:$I,$E$3),0),IF(ROUND(INDEX(계산표!$I:$I,$E$3),0)&lt;=0,IF(A100=0,1,""),IF(INDEX(계산표!$T:$T,$E$3)&gt;=1,IF(A100=ROUND(INDEX(계산표!$I:$I,$E$3),0),1,0),IF(INDEX(계산표!$T:$T,$E$3)&lt;=0,IF(A100=0,1,0),_xlfn.BINOM.DIST(A100,ROUND(INDEX(계산표!$I:$I,$E$3),0),INDEX(계산표!$T:$T,$E$3),FALSE)))),""))</f>
        <v/>
      </c>
      <c r="C100" s="22" t="str">
        <f>IF(B100="","",INDEX(계산표!$AJ:$AJ,$E$3)*((ROUND(INDEX(계산표!$I:$I,$E$3),0)-A100)+A100*INDEX(계산표!$E:$E,$E$3))*INDEX(계산표!$X:$X,$E$3)*INDEX(계산표!$Z:$Z,$E$3)*설정!$B$25)</f>
        <v/>
      </c>
      <c r="D100" s="22" t="str">
        <f t="shared" si="4"/>
        <v/>
      </c>
      <c r="E100" s="21" t="str">
        <f>IF($E$3="","",IF(A100&lt;=ROUND(INDEX(계산표!$N:$N,$E$3),0),IF(ROUND(INDEX(계산표!$N:$N,$E$3),0)&lt;=0,IF(A100=0,1,""),IF(INDEX(계산표!$U:$U,$E$3)&gt;=1,IF(A100=ROUND(INDEX(계산표!$N:$N,$E$3),0),1,0),IF(INDEX(계산표!$U:$U,$E$3)&lt;=0,IF(A100=0,1,0),_xludf.BINOM.DIST(A100,ROUND(INDEX(계산표!$N:$N,$E$3),0),INDEX(계산표!$U:$U,$E$3),FALSE)))),""))</f>
        <v/>
      </c>
      <c r="F100" s="22" t="str">
        <f>IF(E100="","",INDEX(계산표!$AK:$AK,$E$3)*((ROUND(INDEX(계산표!$N:$N,$E$3),0)-A100)+A100*INDEX(계산표!$E:$E,$E$3))*INDEX(계산표!$Y:$Y,$E$3)*INDEX(계산표!$AA:$AA,$E$3)*설정!$B$25)</f>
        <v/>
      </c>
      <c r="G100" s="22" t="str">
        <f t="shared" si="5"/>
        <v/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>
      <c r="A101" s="15">
        <v>95</v>
      </c>
      <c r="B101" s="21" t="str">
        <f>IF($E$3="","",IF(A101&lt;=ROUND(INDEX(계산표!$I:$I,$E$3),0),IF(ROUND(INDEX(계산표!$I:$I,$E$3),0)&lt;=0,IF(A101=0,1,""),IF(INDEX(계산표!$T:$T,$E$3)&gt;=1,IF(A101=ROUND(INDEX(계산표!$I:$I,$E$3),0),1,0),IF(INDEX(계산표!$T:$T,$E$3)&lt;=0,IF(A101=0,1,0),_xlfn.BINOM.DIST(A101,ROUND(INDEX(계산표!$I:$I,$E$3),0),INDEX(계산표!$T:$T,$E$3),FALSE)))),""))</f>
        <v/>
      </c>
      <c r="C101" s="22" t="str">
        <f>IF(B101="","",INDEX(계산표!$AJ:$AJ,$E$3)*((ROUND(INDEX(계산표!$I:$I,$E$3),0)-A101)+A101*INDEX(계산표!$E:$E,$E$3))*INDEX(계산표!$X:$X,$E$3)*INDEX(계산표!$Z:$Z,$E$3)*설정!$B$25)</f>
        <v/>
      </c>
      <c r="D101" s="22" t="str">
        <f t="shared" si="4"/>
        <v/>
      </c>
      <c r="E101" s="21" t="str">
        <f>IF($E$3="","",IF(A101&lt;=ROUND(INDEX(계산표!$N:$N,$E$3),0),IF(ROUND(INDEX(계산표!$N:$N,$E$3),0)&lt;=0,IF(A101=0,1,""),IF(INDEX(계산표!$U:$U,$E$3)&gt;=1,IF(A101=ROUND(INDEX(계산표!$N:$N,$E$3),0),1,0),IF(INDEX(계산표!$U:$U,$E$3)&lt;=0,IF(A101=0,1,0),_xludf.BINOM.DIST(A101,ROUND(INDEX(계산표!$N:$N,$E$3),0),INDEX(계산표!$U:$U,$E$3),FALSE)))),""))</f>
        <v/>
      </c>
      <c r="F101" s="22" t="str">
        <f>IF(E101="","",INDEX(계산표!$AK:$AK,$E$3)*((ROUND(INDEX(계산표!$N:$N,$E$3),0)-A101)+A101*INDEX(계산표!$E:$E,$E$3))*INDEX(계산표!$Y:$Y,$E$3)*INDEX(계산표!$AA:$AA,$E$3)*설정!$B$25)</f>
        <v/>
      </c>
      <c r="G101" s="22" t="str">
        <f t="shared" si="5"/>
        <v/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>
      <c r="A102" s="15">
        <v>96</v>
      </c>
      <c r="B102" s="21" t="str">
        <f>IF($E$3="","",IF(A102&lt;=ROUND(INDEX(계산표!$I:$I,$E$3),0),IF(ROUND(INDEX(계산표!$I:$I,$E$3),0)&lt;=0,IF(A102=0,1,""),IF(INDEX(계산표!$T:$T,$E$3)&gt;=1,IF(A102=ROUND(INDEX(계산표!$I:$I,$E$3),0),1,0),IF(INDEX(계산표!$T:$T,$E$3)&lt;=0,IF(A102=0,1,0),_xlfn.BINOM.DIST(A102,ROUND(INDEX(계산표!$I:$I,$E$3),0),INDEX(계산표!$T:$T,$E$3),FALSE)))),""))</f>
        <v/>
      </c>
      <c r="C102" s="22" t="str">
        <f>IF(B102="","",INDEX(계산표!$AJ:$AJ,$E$3)*((ROUND(INDEX(계산표!$I:$I,$E$3),0)-A102)+A102*INDEX(계산표!$E:$E,$E$3))*INDEX(계산표!$X:$X,$E$3)*INDEX(계산표!$Z:$Z,$E$3)*설정!$B$25)</f>
        <v/>
      </c>
      <c r="D102" s="22" t="str">
        <f t="shared" ref="D102:D106" si="6">IF(OR(B102="",C102=""),"",B102*C102)</f>
        <v/>
      </c>
      <c r="E102" s="21" t="str">
        <f>IF($E$3="","",IF(A102&lt;=ROUND(INDEX(계산표!$N:$N,$E$3),0),IF(ROUND(INDEX(계산표!$N:$N,$E$3),0)&lt;=0,IF(A102=0,1,""),IF(INDEX(계산표!$U:$U,$E$3)&gt;=1,IF(A102=ROUND(INDEX(계산표!$N:$N,$E$3),0),1,0),IF(INDEX(계산표!$U:$U,$E$3)&lt;=0,IF(A102=0,1,0),_xludf.BINOM.DIST(A102,ROUND(INDEX(계산표!$N:$N,$E$3),0),INDEX(계산표!$U:$U,$E$3),FALSE)))),""))</f>
        <v/>
      </c>
      <c r="F102" s="22" t="str">
        <f>IF(E102="","",INDEX(계산표!$AK:$AK,$E$3)*((ROUND(INDEX(계산표!$N:$N,$E$3),0)-A102)+A102*INDEX(계산표!$E:$E,$E$3))*INDEX(계산표!$Y:$Y,$E$3)*INDEX(계산표!$AA:$AA,$E$3)*설정!$B$25)</f>
        <v/>
      </c>
      <c r="G102" s="22" t="str">
        <f t="shared" ref="G102:G106" si="7">IF(OR(E102="",F102=""),"",E102*F102)</f>
        <v/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>
      <c r="A103" s="15">
        <v>97</v>
      </c>
      <c r="B103" s="21" t="str">
        <f>IF($E$3="","",IF(A103&lt;=ROUND(INDEX(계산표!$I:$I,$E$3),0),IF(ROUND(INDEX(계산표!$I:$I,$E$3),0)&lt;=0,IF(A103=0,1,""),IF(INDEX(계산표!$T:$T,$E$3)&gt;=1,IF(A103=ROUND(INDEX(계산표!$I:$I,$E$3),0),1,0),IF(INDEX(계산표!$T:$T,$E$3)&lt;=0,IF(A103=0,1,0),_xlfn.BINOM.DIST(A103,ROUND(INDEX(계산표!$I:$I,$E$3),0),INDEX(계산표!$T:$T,$E$3),FALSE)))),""))</f>
        <v/>
      </c>
      <c r="C103" s="22" t="str">
        <f>IF(B103="","",INDEX(계산표!$AJ:$AJ,$E$3)*((ROUND(INDEX(계산표!$I:$I,$E$3),0)-A103)+A103*INDEX(계산표!$E:$E,$E$3))*INDEX(계산표!$X:$X,$E$3)*INDEX(계산표!$Z:$Z,$E$3)*설정!$B$25)</f>
        <v/>
      </c>
      <c r="D103" s="22" t="str">
        <f t="shared" si="6"/>
        <v/>
      </c>
      <c r="E103" s="21" t="str">
        <f>IF($E$3="","",IF(A103&lt;=ROUND(INDEX(계산표!$N:$N,$E$3),0),IF(ROUND(INDEX(계산표!$N:$N,$E$3),0)&lt;=0,IF(A103=0,1,""),IF(INDEX(계산표!$U:$U,$E$3)&gt;=1,IF(A103=ROUND(INDEX(계산표!$N:$N,$E$3),0),1,0),IF(INDEX(계산표!$U:$U,$E$3)&lt;=0,IF(A103=0,1,0),_xludf.BINOM.DIST(A103,ROUND(INDEX(계산표!$N:$N,$E$3),0),INDEX(계산표!$U:$U,$E$3),FALSE)))),""))</f>
        <v/>
      </c>
      <c r="F103" s="22" t="str">
        <f>IF(E103="","",INDEX(계산표!$AK:$AK,$E$3)*((ROUND(INDEX(계산표!$N:$N,$E$3),0)-A103)+A103*INDEX(계산표!$E:$E,$E$3))*INDEX(계산표!$Y:$Y,$E$3)*INDEX(계산표!$AA:$AA,$E$3)*설정!$B$25)</f>
        <v/>
      </c>
      <c r="G103" s="22" t="str">
        <f t="shared" si="7"/>
        <v/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>
      <c r="A104" s="15">
        <v>98</v>
      </c>
      <c r="B104" s="21" t="str">
        <f>IF($E$3="","",IF(A104&lt;=ROUND(INDEX(계산표!$I:$I,$E$3),0),IF(ROUND(INDEX(계산표!$I:$I,$E$3),0)&lt;=0,IF(A104=0,1,""),IF(INDEX(계산표!$T:$T,$E$3)&gt;=1,IF(A104=ROUND(INDEX(계산표!$I:$I,$E$3),0),1,0),IF(INDEX(계산표!$T:$T,$E$3)&lt;=0,IF(A104=0,1,0),_xlfn.BINOM.DIST(A104,ROUND(INDEX(계산표!$I:$I,$E$3),0),INDEX(계산표!$T:$T,$E$3),FALSE)))),""))</f>
        <v/>
      </c>
      <c r="C104" s="22" t="str">
        <f>IF(B104="","",INDEX(계산표!$AJ:$AJ,$E$3)*((ROUND(INDEX(계산표!$I:$I,$E$3),0)-A104)+A104*INDEX(계산표!$E:$E,$E$3))*INDEX(계산표!$X:$X,$E$3)*INDEX(계산표!$Z:$Z,$E$3)*설정!$B$25)</f>
        <v/>
      </c>
      <c r="D104" s="22" t="str">
        <f t="shared" si="6"/>
        <v/>
      </c>
      <c r="E104" s="21" t="str">
        <f>IF($E$3="","",IF(A104&lt;=ROUND(INDEX(계산표!$N:$N,$E$3),0),IF(ROUND(INDEX(계산표!$N:$N,$E$3),0)&lt;=0,IF(A104=0,1,""),IF(INDEX(계산표!$U:$U,$E$3)&gt;=1,IF(A104=ROUND(INDEX(계산표!$N:$N,$E$3),0),1,0),IF(INDEX(계산표!$U:$U,$E$3)&lt;=0,IF(A104=0,1,0),_xludf.BINOM.DIST(A104,ROUND(INDEX(계산표!$N:$N,$E$3),0),INDEX(계산표!$U:$U,$E$3),FALSE)))),""))</f>
        <v/>
      </c>
      <c r="F104" s="22" t="str">
        <f>IF(E104="","",INDEX(계산표!$AK:$AK,$E$3)*((ROUND(INDEX(계산표!$N:$N,$E$3),0)-A104)+A104*INDEX(계산표!$E:$E,$E$3))*INDEX(계산표!$Y:$Y,$E$3)*INDEX(계산표!$AA:$AA,$E$3)*설정!$B$25)</f>
        <v/>
      </c>
      <c r="G104" s="22" t="str">
        <f t="shared" si="7"/>
        <v/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>
      <c r="A105" s="15">
        <v>99</v>
      </c>
      <c r="B105" s="21" t="str">
        <f>IF($E$3="","",IF(A105&lt;=ROUND(INDEX(계산표!$I:$I,$E$3),0),IF(ROUND(INDEX(계산표!$I:$I,$E$3),0)&lt;=0,IF(A105=0,1,""),IF(INDEX(계산표!$T:$T,$E$3)&gt;=1,IF(A105=ROUND(INDEX(계산표!$I:$I,$E$3),0),1,0),IF(INDEX(계산표!$T:$T,$E$3)&lt;=0,IF(A105=0,1,0),_xlfn.BINOM.DIST(A105,ROUND(INDEX(계산표!$I:$I,$E$3),0),INDEX(계산표!$T:$T,$E$3),FALSE)))),""))</f>
        <v/>
      </c>
      <c r="C105" s="22" t="str">
        <f>IF(B105="","",INDEX(계산표!$AJ:$AJ,$E$3)*((ROUND(INDEX(계산표!$I:$I,$E$3),0)-A105)+A105*INDEX(계산표!$E:$E,$E$3))*INDEX(계산표!$X:$X,$E$3)*INDEX(계산표!$Z:$Z,$E$3)*설정!$B$25)</f>
        <v/>
      </c>
      <c r="D105" s="22" t="str">
        <f t="shared" si="6"/>
        <v/>
      </c>
      <c r="E105" s="21" t="str">
        <f>IF($E$3="","",IF(A105&lt;=ROUND(INDEX(계산표!$N:$N,$E$3),0),IF(ROUND(INDEX(계산표!$N:$N,$E$3),0)&lt;=0,IF(A105=0,1,""),IF(INDEX(계산표!$U:$U,$E$3)&gt;=1,IF(A105=ROUND(INDEX(계산표!$N:$N,$E$3),0),1,0),IF(INDEX(계산표!$U:$U,$E$3)&lt;=0,IF(A105=0,1,0),_xludf.BINOM.DIST(A105,ROUND(INDEX(계산표!$N:$N,$E$3),0),INDEX(계산표!$U:$U,$E$3),FALSE)))),""))</f>
        <v/>
      </c>
      <c r="F105" s="22" t="str">
        <f>IF(E105="","",INDEX(계산표!$AK:$AK,$E$3)*((ROUND(INDEX(계산표!$N:$N,$E$3),0)-A105)+A105*INDEX(계산표!$E:$E,$E$3))*INDEX(계산표!$Y:$Y,$E$3)*INDEX(계산표!$AA:$AA,$E$3)*설정!$B$25)</f>
        <v/>
      </c>
      <c r="G105" s="22" t="str">
        <f t="shared" si="7"/>
        <v/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>
      <c r="A106" s="15">
        <v>100</v>
      </c>
      <c r="B106" s="21" t="str">
        <f>IF($E$3="","",IF(A106&lt;=ROUND(INDEX(계산표!$I:$I,$E$3),0),IF(ROUND(INDEX(계산표!$I:$I,$E$3),0)&lt;=0,IF(A106=0,1,""),IF(INDEX(계산표!$T:$T,$E$3)&gt;=1,IF(A106=ROUND(INDEX(계산표!$I:$I,$E$3),0),1,0),IF(INDEX(계산표!$T:$T,$E$3)&lt;=0,IF(A106=0,1,0),_xlfn.BINOM.DIST(A106,ROUND(INDEX(계산표!$I:$I,$E$3),0),INDEX(계산표!$T:$T,$E$3),FALSE)))),""))</f>
        <v/>
      </c>
      <c r="C106" s="22" t="str">
        <f>IF(B106="","",INDEX(계산표!$AJ:$AJ,$E$3)*((ROUND(INDEX(계산표!$I:$I,$E$3),0)-A106)+A106*INDEX(계산표!$E:$E,$E$3))*INDEX(계산표!$X:$X,$E$3)*INDEX(계산표!$Z:$Z,$E$3)*설정!$B$25)</f>
        <v/>
      </c>
      <c r="D106" s="22" t="str">
        <f t="shared" si="6"/>
        <v/>
      </c>
      <c r="E106" s="21" t="str">
        <f>IF($E$3="","",IF(A106&lt;=ROUND(INDEX(계산표!$N:$N,$E$3),0),IF(ROUND(INDEX(계산표!$N:$N,$E$3),0)&lt;=0,IF(A106=0,1,""),IF(INDEX(계산표!$U:$U,$E$3)&gt;=1,IF(A106=ROUND(INDEX(계산표!$N:$N,$E$3),0),1,0),IF(INDEX(계산표!$U:$U,$E$3)&lt;=0,IF(A106=0,1,0),_xludf.BINOM.DIST(A106,ROUND(INDEX(계산표!$N:$N,$E$3),0),INDEX(계산표!$U:$U,$E$3),FALSE)))),""))</f>
        <v/>
      </c>
      <c r="F106" s="22" t="str">
        <f>IF(E106="","",INDEX(계산표!$AK:$AK,$E$3)*((ROUND(INDEX(계산표!$N:$N,$E$3),0)-A106)+A106*INDEX(계산표!$E:$E,$E$3))*INDEX(계산표!$Y:$Y,$E$3)*INDEX(계산표!$AA:$AA,$E$3)*설정!$B$25)</f>
        <v/>
      </c>
      <c r="G106" s="22" t="str">
        <f t="shared" si="7"/>
        <v/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</sheetData>
  <mergeCells count="1">
    <mergeCell ref="A1:L1"/>
  </mergeCells>
  <phoneticPr fontId="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96D90C-4C43-44CF-819A-82C806F7C29E}">
          <x14:formula1>
            <xm:f>계산표!$A$4:$A$43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00"/>
  <sheetViews>
    <sheetView workbookViewId="0">
      <selection activeCell="C47" sqref="C47"/>
    </sheetView>
  </sheetViews>
  <sheetFormatPr defaultRowHeight="14.25"/>
  <cols>
    <col min="1" max="1" width="36.375" customWidth="1"/>
    <col min="2" max="2" width="8.25" customWidth="1"/>
    <col min="3" max="3" width="28.25" customWidth="1"/>
    <col min="4" max="4" width="9.75" customWidth="1"/>
    <col min="5" max="5" width="12.75" customWidth="1"/>
    <col min="6" max="7" width="17.875" customWidth="1"/>
    <col min="8" max="8" width="7.875" customWidth="1"/>
    <col min="9" max="9" width="9.75" customWidth="1"/>
    <col min="10" max="11" width="12" customWidth="1"/>
    <col min="12" max="13" width="7.875" customWidth="1"/>
  </cols>
  <sheetData>
    <row r="1" spans="1:26" ht="18.75">
      <c r="A1" s="54" t="s">
        <v>177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5">
      <c r="A3" s="3" t="s">
        <v>178</v>
      </c>
      <c r="B3" s="3" t="s">
        <v>49</v>
      </c>
      <c r="C3" s="3" t="s">
        <v>179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">
      <c r="A4" s="6" t="s">
        <v>180</v>
      </c>
      <c r="B4" s="22">
        <f>SUMPRODUCT(계산표!H4:H43,계산표!AW4:AW43)</f>
        <v>4589.4900000000016</v>
      </c>
      <c r="C4" s="15" t="s">
        <v>181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">
      <c r="A5" s="6" t="s">
        <v>182</v>
      </c>
      <c r="B5" s="22">
        <f>SUMPRODUCT(계산표!AL4:AL43,계산표!AW4:AW43)</f>
        <v>4569.4936623355334</v>
      </c>
      <c r="C5" s="15" t="s">
        <v>183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>
      <c r="A6" s="6" t="s">
        <v>184</v>
      </c>
      <c r="B6" s="22">
        <f>SUMPRODUCT(계산표!M4:M43,계산표!AW4:AW43)</f>
        <v>998.12</v>
      </c>
      <c r="C6" s="15" t="s">
        <v>185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>
      <c r="A7" s="6" t="s">
        <v>186</v>
      </c>
      <c r="B7" s="22">
        <f>SUMPRODUCT(계산표!AM4:AM43,계산표!AW4:AW43)</f>
        <v>1001.219045069479</v>
      </c>
      <c r="C7" s="15" t="s">
        <v>187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>
      <c r="A8" s="6" t="s">
        <v>188</v>
      </c>
      <c r="B8" s="22">
        <f>SUMPRODUCT(계산표!AO4:AO43,계산표!AW4:AW43)</f>
        <v>5806.199073549783</v>
      </c>
      <c r="C8" s="15" t="s">
        <v>189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>
      <c r="A9" s="6" t="s">
        <v>190</v>
      </c>
      <c r="B9" s="21">
        <f>IFERROR(B4/B5,0)</f>
        <v>1.0043760510774509</v>
      </c>
      <c r="C9" s="15" t="s">
        <v>191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">
      <c r="A10" s="6" t="s">
        <v>192</v>
      </c>
      <c r="B10" s="21">
        <f>IFERROR(B6/B7,0)</f>
        <v>0.9969047282063398</v>
      </c>
      <c r="C10" s="15" t="s">
        <v>193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">
      <c r="A11" s="6" t="s">
        <v>194</v>
      </c>
      <c r="B11" s="21">
        <f>IFERROR(B5/B8,0)</f>
        <v>0.78700258197345019</v>
      </c>
      <c r="C11" s="15" t="s">
        <v>195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">
      <c r="A12" s="6" t="s">
        <v>196</v>
      </c>
      <c r="B12" s="21">
        <f>IFERROR(B4/B8,0)</f>
        <v>0.79044654547025162</v>
      </c>
      <c r="C12" s="15" t="s">
        <v>197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">
      <c r="A13" s="6" t="s">
        <v>198</v>
      </c>
      <c r="B13" s="21">
        <f>IFERROR(SUMPRODUCT(계산표!H4:H43,계산표!AW4:AW43,계산표!AT4:AT43)/SUMPRODUCT(계산표!H4:H43,계산표!AW4:AW43),0)</f>
        <v>0.8535622089592968</v>
      </c>
      <c r="C13" s="15" t="s">
        <v>199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">
      <c r="A14" s="6" t="s">
        <v>200</v>
      </c>
      <c r="B14" s="21">
        <f>IFERROR(SUMPRODUCT(계산표!H4:H43,계산표!AW4:AW43,계산표!AU4:AU43)/SUMPRODUCT(계산표!H4:H43,계산표!AW4:AW43),0)</f>
        <v>0.81855528095314822</v>
      </c>
      <c r="C14" s="15" t="s">
        <v>201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">
      <c r="A15" s="6" t="s">
        <v>191</v>
      </c>
      <c r="B15" s="21">
        <f>B9-1</f>
        <v>4.376051077450871E-3</v>
      </c>
      <c r="C15" s="15" t="s">
        <v>202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>
      <c r="A16" s="6" t="s">
        <v>193</v>
      </c>
      <c r="B16" s="21">
        <f>B10-1</f>
        <v>-3.0952717936602037E-3</v>
      </c>
      <c r="C16" s="15" t="s">
        <v>202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30">
      <c r="A20" s="3" t="s">
        <v>8</v>
      </c>
      <c r="B20" s="3" t="s">
        <v>203</v>
      </c>
      <c r="C20" s="3" t="s">
        <v>204</v>
      </c>
      <c r="D20" s="3" t="s">
        <v>205</v>
      </c>
      <c r="E20" s="3" t="s">
        <v>153</v>
      </c>
      <c r="F20" s="3" t="s">
        <v>155</v>
      </c>
      <c r="G20" s="3" t="s">
        <v>156</v>
      </c>
      <c r="H20" s="3" t="s">
        <v>157</v>
      </c>
      <c r="I20" s="3" t="s">
        <v>206</v>
      </c>
      <c r="J20" s="3" t="s">
        <v>131</v>
      </c>
      <c r="K20" s="3" t="s">
        <v>132</v>
      </c>
      <c r="L20" s="3" t="s">
        <v>160</v>
      </c>
      <c r="M20" s="3" t="s">
        <v>161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>
      <c r="A21" s="15" t="str">
        <f>계산표!A4</f>
        <v>허리케인 소드</v>
      </c>
      <c r="B21" s="22">
        <f>계산표!H4</f>
        <v>2083.44</v>
      </c>
      <c r="C21" s="22">
        <f>계산표!AL4</f>
        <v>2076.0114875333438</v>
      </c>
      <c r="D21" s="22">
        <f>계산표!AO4</f>
        <v>2700.4392982707782</v>
      </c>
      <c r="E21" s="21">
        <f>계산표!AP4</f>
        <v>1.0035782617347087</v>
      </c>
      <c r="F21" s="21">
        <f>계산표!AR4</f>
        <v>0.76876806261215136</v>
      </c>
      <c r="G21" s="21">
        <f>계산표!AS4</f>
        <v>0.77151891595346256</v>
      </c>
      <c r="H21" s="21">
        <f>계산표!AT4</f>
        <v>0.8587607535663726</v>
      </c>
      <c r="I21" s="21">
        <f>계산표!AU4</f>
        <v>0.79578947368421049</v>
      </c>
      <c r="J21" s="21">
        <f>계산표!T4</f>
        <v>0.97667000000000004</v>
      </c>
      <c r="K21" s="21">
        <f>계산표!U4</f>
        <v>1</v>
      </c>
      <c r="L21" s="15">
        <f>계산표!AW4</f>
        <v>1</v>
      </c>
      <c r="M21" s="15" t="str">
        <f>계산표!AX4</f>
        <v>포함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>
      <c r="A22" s="15" t="str">
        <f>계산표!A5</f>
        <v>플레임 블레이드</v>
      </c>
      <c r="B22" s="22">
        <f>계산표!H5</f>
        <v>544.21</v>
      </c>
      <c r="C22" s="22">
        <f>계산표!AL5</f>
        <v>529.85625193846181</v>
      </c>
      <c r="D22" s="22">
        <f>계산표!AO5</f>
        <v>574.44468672873165</v>
      </c>
      <c r="E22" s="21">
        <f>계산표!AP5</f>
        <v>1.0270898909072517</v>
      </c>
      <c r="F22" s="21">
        <f>계산표!AR5</f>
        <v>0.9223799334898789</v>
      </c>
      <c r="G22" s="21">
        <f>계산표!AS5</f>
        <v>0.94736710526315782</v>
      </c>
      <c r="H22" s="21">
        <f>계산표!AT5</f>
        <v>1.0357336220898754</v>
      </c>
      <c r="I22" s="21">
        <f>계산표!AU5</f>
        <v>0.96710526315789469</v>
      </c>
      <c r="J22" s="21">
        <f>계산표!T5</f>
        <v>0.95713999999999999</v>
      </c>
      <c r="K22" s="21">
        <f>계산표!U5</f>
        <v>1</v>
      </c>
      <c r="L22" s="15">
        <f>계산표!AW5</f>
        <v>1</v>
      </c>
      <c r="M22" s="15" t="str">
        <f>계산표!AX5</f>
        <v>포함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>
      <c r="A23" s="15" t="str">
        <f>계산표!A6</f>
        <v>브루탈 임팩트</v>
      </c>
      <c r="B23" s="22">
        <f>계산표!H6</f>
        <v>536.25</v>
      </c>
      <c r="C23" s="22">
        <f>계산표!AL6</f>
        <v>533.70900000000006</v>
      </c>
      <c r="D23" s="22">
        <f>계산표!AO6</f>
        <v>674.2579935955647</v>
      </c>
      <c r="E23" s="21">
        <f>계산표!AP6</f>
        <v>1.0047610214555123</v>
      </c>
      <c r="F23" s="21">
        <f>계산표!AR6</f>
        <v>0.79155012631578958</v>
      </c>
      <c r="G23" s="21">
        <f>계산표!AS6</f>
        <v>0.79531871345029237</v>
      </c>
      <c r="H23" s="21">
        <f>계산표!AT6</f>
        <v>0.85460540310572219</v>
      </c>
      <c r="I23" s="21">
        <f>계산표!AU6</f>
        <v>0.79824561403508776</v>
      </c>
      <c r="J23" s="21">
        <f>계산표!T6</f>
        <v>0.99230000000000007</v>
      </c>
      <c r="K23" s="21">
        <f>계산표!U6</f>
        <v>1</v>
      </c>
      <c r="L23" s="15">
        <f>계산표!AW6</f>
        <v>1</v>
      </c>
      <c r="M23" s="15" t="str">
        <f>계산표!AX6</f>
        <v>포함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>
      <c r="A24" s="15" t="str">
        <f>계산표!A7</f>
        <v>길로틴</v>
      </c>
      <c r="B24" s="22">
        <f>계산표!H7</f>
        <v>426.77</v>
      </c>
      <c r="C24" s="22">
        <f>계산표!AL7</f>
        <v>429.67027435187515</v>
      </c>
      <c r="D24" s="22">
        <f>계산표!AO7</f>
        <v>513.74624563479892</v>
      </c>
      <c r="E24" s="21">
        <f>계산표!AP7</f>
        <v>0.99324999999999997</v>
      </c>
      <c r="F24" s="21">
        <f>계산표!AR7</f>
        <v>0.83634727845254186</v>
      </c>
      <c r="G24" s="21">
        <f>계산표!AS7</f>
        <v>0.83070193432298722</v>
      </c>
      <c r="H24" s="21">
        <f>계산표!AT7</f>
        <v>0.90757508833922262</v>
      </c>
      <c r="I24" s="21">
        <f>계산표!AU7</f>
        <v>0.85964912280701755</v>
      </c>
      <c r="J24" s="21">
        <f>계산표!T7</f>
        <v>0.97500000000000009</v>
      </c>
      <c r="K24" s="21">
        <f>계산표!U7</f>
        <v>1</v>
      </c>
      <c r="L24" s="15">
        <f>계산표!AW7</f>
        <v>1</v>
      </c>
      <c r="M24" s="15" t="str">
        <f>계산표!AX7</f>
        <v>포함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>
      <c r="A25" s="15" t="str">
        <f>계산표!A8</f>
        <v>볼케이노 이럽션</v>
      </c>
      <c r="B25" s="22">
        <f>계산표!H8</f>
        <v>395.4</v>
      </c>
      <c r="C25" s="22">
        <f>계산표!AL8</f>
        <v>399.39141955835964</v>
      </c>
      <c r="D25" s="22">
        <f>계산표!AO8</f>
        <v>513.70780985029455</v>
      </c>
      <c r="E25" s="21">
        <f>계산표!AP8</f>
        <v>0.99000624609618981</v>
      </c>
      <c r="F25" s="21">
        <f>계산표!AR8</f>
        <v>0.77746807017543851</v>
      </c>
      <c r="G25" s="21">
        <f>계산표!AS8</f>
        <v>0.76969824561403499</v>
      </c>
      <c r="H25" s="21">
        <f>계산표!AT8</f>
        <v>0.85424049137727376</v>
      </c>
      <c r="I25" s="21">
        <f>계산표!AU8</f>
        <v>0.79824561403508776</v>
      </c>
      <c r="J25" s="21">
        <f>계산표!T8</f>
        <v>0.97599999999999998</v>
      </c>
      <c r="K25" s="21">
        <f>계산표!U8</f>
        <v>1</v>
      </c>
      <c r="L25" s="15">
        <f>계산표!AW8</f>
        <v>1</v>
      </c>
      <c r="M25" s="15" t="str">
        <f>계산표!AX8</f>
        <v>포함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>
      <c r="A26" s="15" t="str">
        <f>계산표!A9</f>
        <v>파이널 블로</v>
      </c>
      <c r="B26" s="22">
        <f>계산표!H9</f>
        <v>249.28</v>
      </c>
      <c r="C26" s="22">
        <f>계산표!AL9</f>
        <v>250.09221814500827</v>
      </c>
      <c r="D26" s="22">
        <f>계산표!AO9</f>
        <v>309.62264393824967</v>
      </c>
      <c r="E26" s="21">
        <f>계산표!AP9</f>
        <v>0.99675232539807646</v>
      </c>
      <c r="F26" s="21">
        <f>계산표!AR9</f>
        <v>0.80773232527168137</v>
      </c>
      <c r="G26" s="21">
        <f>계산표!AS9</f>
        <v>0.80510907351374394</v>
      </c>
      <c r="H26" s="21">
        <f>계산표!AT9</f>
        <v>0.85394329282821058</v>
      </c>
      <c r="I26" s="21">
        <f>계산표!AU9</f>
        <v>0.84349030470914133</v>
      </c>
      <c r="J26" s="21">
        <f>계산표!T9</f>
        <v>0.96074999999999999</v>
      </c>
      <c r="K26" s="21">
        <f>계산표!U9</f>
        <v>1</v>
      </c>
      <c r="L26" s="15">
        <f>계산표!AW9</f>
        <v>1</v>
      </c>
      <c r="M26" s="15" t="str">
        <f>계산표!AX9</f>
        <v>포함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>
      <c r="A27" s="15" t="str">
        <f>계산표!A10</f>
        <v>페이탈 소드</v>
      </c>
      <c r="B27" s="22">
        <f>계산표!H10</f>
        <v>116.8</v>
      </c>
      <c r="C27" s="22">
        <f>계산표!AL10</f>
        <v>117.53825584317667</v>
      </c>
      <c r="D27" s="22">
        <f>계산표!AO10</f>
        <v>150.02138791666076</v>
      </c>
      <c r="E27" s="21">
        <f>계산표!AP10</f>
        <v>0.99371901652036021</v>
      </c>
      <c r="F27" s="21">
        <f>계산표!AR10</f>
        <v>0.78347665939786548</v>
      </c>
      <c r="G27" s="21">
        <f>계산표!AS10</f>
        <v>0.77855565544350402</v>
      </c>
      <c r="H27" s="21">
        <f>계산표!AT10</f>
        <v>0.84117287721441658</v>
      </c>
      <c r="I27" s="21">
        <f>계산표!AU10</f>
        <v>0.80382775119617211</v>
      </c>
      <c r="J27" s="21">
        <f>계산표!T10</f>
        <v>0.97666000000000008</v>
      </c>
      <c r="K27" s="21">
        <f>계산표!U10</f>
        <v>1</v>
      </c>
      <c r="L27" s="15">
        <f>계산표!AW10</f>
        <v>1</v>
      </c>
      <c r="M27" s="15" t="str">
        <f>계산표!AX10</f>
        <v>포함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>
      <c r="A28" s="15" t="str">
        <f>계산표!A11</f>
        <v>스킬룬 : 출혈</v>
      </c>
      <c r="B28" s="22">
        <f>계산표!H11</f>
        <v>51.05</v>
      </c>
      <c r="C28" s="22">
        <f>계산표!AL11</f>
        <v>49.037068531116148</v>
      </c>
      <c r="D28" s="22">
        <f>계산표!AO11</f>
        <v>88.7337430563054</v>
      </c>
      <c r="E28" s="21">
        <f>계산표!AP11</f>
        <v>1.0410491803278688</v>
      </c>
      <c r="F28" s="21">
        <f>계산표!AR11</f>
        <v>0.55263157894736847</v>
      </c>
      <c r="G28" s="21">
        <f>계산표!AS11</f>
        <v>0.5753166522864539</v>
      </c>
      <c r="H28" s="21">
        <f>계산표!AT11</f>
        <v>0</v>
      </c>
      <c r="I28" s="21">
        <f>계산표!AU11</f>
        <v>0.55263157894736847</v>
      </c>
      <c r="J28" s="21">
        <f>계산표!T11</f>
        <v>0.9</v>
      </c>
      <c r="K28" s="21">
        <f>계산표!U11</f>
        <v>0.9</v>
      </c>
      <c r="L28" s="15">
        <f>계산표!AW11</f>
        <v>1</v>
      </c>
      <c r="M28" s="15" t="str">
        <f>계산표!AX11</f>
        <v>포함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>
      <c r="A29" s="15" t="str">
        <f>계산표!A12</f>
        <v>스킬룬 : 중독</v>
      </c>
      <c r="B29" s="22">
        <f>계산표!H12</f>
        <v>48.13</v>
      </c>
      <c r="C29" s="22">
        <f>계산표!AL12</f>
        <v>47.633363618664418</v>
      </c>
      <c r="D29" s="22">
        <f>계산표!AO12</f>
        <v>86.193705595678466</v>
      </c>
      <c r="E29" s="21">
        <f>계산표!AP12</f>
        <v>1.0104262295081967</v>
      </c>
      <c r="F29" s="21">
        <f>계산표!AR12</f>
        <v>0.55263157894736847</v>
      </c>
      <c r="G29" s="21">
        <f>계산표!AS12</f>
        <v>0.55839344262295088</v>
      </c>
      <c r="H29" s="21">
        <f>계산표!AT12</f>
        <v>0</v>
      </c>
      <c r="I29" s="21">
        <f>계산표!AU12</f>
        <v>0.55263157894736847</v>
      </c>
      <c r="J29" s="21">
        <f>계산표!T12</f>
        <v>0.9</v>
      </c>
      <c r="K29" s="21">
        <f>계산표!U12</f>
        <v>0.9</v>
      </c>
      <c r="L29" s="15">
        <f>계산표!AW12</f>
        <v>1</v>
      </c>
      <c r="M29" s="15" t="str">
        <f>계산표!AX12</f>
        <v>포함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>
      <c r="A30" s="15" t="str">
        <f>계산표!A13</f>
        <v>와일드 스톰프</v>
      </c>
      <c r="B30" s="22">
        <f>계산표!H13</f>
        <v>43.64</v>
      </c>
      <c r="C30" s="22">
        <f>계산표!AL13</f>
        <v>42.658162938273193</v>
      </c>
      <c r="D30" s="22">
        <f>계산표!AO13</f>
        <v>45.522874735104722</v>
      </c>
      <c r="E30" s="21">
        <f>계산표!AP13</f>
        <v>1.0230163934426229</v>
      </c>
      <c r="F30" s="21">
        <f>계산표!AR13</f>
        <v>0.93707093821510312</v>
      </c>
      <c r="G30" s="21">
        <f>계산표!AS13</f>
        <v>0.95863893161270963</v>
      </c>
      <c r="H30" s="21">
        <f>계산표!AT13</f>
        <v>0.95474785129957551</v>
      </c>
      <c r="I30" s="21">
        <f>계산표!AU13</f>
        <v>0.93707093821510301</v>
      </c>
      <c r="J30" s="21">
        <f>계산표!T13</f>
        <v>0.9</v>
      </c>
      <c r="K30" s="21">
        <f>계산표!U13</f>
        <v>0.9</v>
      </c>
      <c r="L30" s="15">
        <f>계산표!AW13</f>
        <v>1</v>
      </c>
      <c r="M30" s="15" t="str">
        <f>계산표!AX13</f>
        <v>포함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>
      <c r="A31" s="15" t="str">
        <f>계산표!A14</f>
        <v>라그나 브레이크</v>
      </c>
      <c r="B31" s="22">
        <f>계산표!H14</f>
        <v>43.35</v>
      </c>
      <c r="C31" s="22">
        <f>계산표!AL14</f>
        <v>40.682307692307695</v>
      </c>
      <c r="D31" s="22">
        <f>계산표!AO14</f>
        <v>0</v>
      </c>
      <c r="E31" s="21" t="str">
        <f>계산표!AP14</f>
        <v/>
      </c>
      <c r="F31" s="21" t="str">
        <f>계산표!AR14</f>
        <v/>
      </c>
      <c r="G31" s="21" t="str">
        <f>계산표!AS14</f>
        <v/>
      </c>
      <c r="H31" s="21" t="str">
        <f>계산표!AT14</f>
        <v/>
      </c>
      <c r="I31" s="21" t="str">
        <f>계산표!AU14</f>
        <v/>
      </c>
      <c r="J31" s="21">
        <f>계산표!T14</f>
        <v>0.9</v>
      </c>
      <c r="K31" s="21">
        <f>계산표!U14</f>
        <v>0.9</v>
      </c>
      <c r="L31" s="15">
        <f>계산표!AW14</f>
        <v>0</v>
      </c>
      <c r="M31" s="15" t="str">
        <f>계산표!AX14</f>
        <v>허수 미사용/피해 없음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>
      <c r="A32" s="15" t="str">
        <f>계산표!A15</f>
        <v>기타</v>
      </c>
      <c r="B32" s="22">
        <f>계산표!H15</f>
        <v>35.020000000000003</v>
      </c>
      <c r="C32" s="22">
        <f>계산표!AL15</f>
        <v>34.916966328865648</v>
      </c>
      <c r="D32" s="22">
        <f>계산표!AO15</f>
        <v>63.183081928423547</v>
      </c>
      <c r="E32" s="21">
        <f>계산표!AP15</f>
        <v>1.0029508196721311</v>
      </c>
      <c r="F32" s="21">
        <f>계산표!AR15</f>
        <v>0.55263157894736847</v>
      </c>
      <c r="G32" s="21">
        <f>계산표!AS15</f>
        <v>0.55426229508196723</v>
      </c>
      <c r="H32" s="21">
        <f>계산표!AT15</f>
        <v>0</v>
      </c>
      <c r="I32" s="21">
        <f>계산표!AU15</f>
        <v>0.55263157894736847</v>
      </c>
      <c r="J32" s="21">
        <f>계산표!T15</f>
        <v>0.9</v>
      </c>
      <c r="K32" s="21">
        <f>계산표!U15</f>
        <v>0.9</v>
      </c>
      <c r="L32" s="15">
        <f>계산표!AW15</f>
        <v>1</v>
      </c>
      <c r="M32" s="15" t="str">
        <f>계산표!AX15</f>
        <v>포함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>
      <c r="A33" s="15" t="str">
        <f>계산표!A16</f>
        <v>와일드 러시</v>
      </c>
      <c r="B33" s="22">
        <f>계산표!H16</f>
        <v>32.29</v>
      </c>
      <c r="C33" s="22">
        <f>계산표!AL16</f>
        <v>31.76919354838709</v>
      </c>
      <c r="D33" s="22">
        <f>계산표!AO16</f>
        <v>37.088459442049448</v>
      </c>
      <c r="E33" s="21">
        <f>계산표!AP16</f>
        <v>1.0163934426229511</v>
      </c>
      <c r="F33" s="21">
        <f>계산표!AR16</f>
        <v>0.856578947368421</v>
      </c>
      <c r="G33" s="21">
        <f>계산표!AS16</f>
        <v>0.87062122519413299</v>
      </c>
      <c r="H33" s="21">
        <f>계산표!AT16</f>
        <v>0.88021966635581816</v>
      </c>
      <c r="I33" s="21">
        <f>계산표!AU16</f>
        <v>0.85657894736842111</v>
      </c>
      <c r="J33" s="21">
        <f>계산표!T16</f>
        <v>0.9</v>
      </c>
      <c r="K33" s="21">
        <f>계산표!U16</f>
        <v>0.9</v>
      </c>
      <c r="L33" s="15">
        <f>계산표!AW16</f>
        <v>1</v>
      </c>
      <c r="M33" s="15" t="str">
        <f>계산표!AX16</f>
        <v>포함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>
      <c r="A34" s="15" t="str">
        <f>계산표!A17</f>
        <v>맥스웰 맥시마</v>
      </c>
      <c r="B34" s="22">
        <f>계산표!H17</f>
        <v>27.21</v>
      </c>
      <c r="C34" s="22">
        <f>계산표!AL17</f>
        <v>27.21</v>
      </c>
      <c r="D34" s="22">
        <f>계산표!AO17</f>
        <v>49.237142857142857</v>
      </c>
      <c r="E34" s="21">
        <f>계산표!AP17</f>
        <v>1</v>
      </c>
      <c r="F34" s="21">
        <f>계산표!AR17</f>
        <v>0.55263157894736847</v>
      </c>
      <c r="G34" s="21">
        <f>계산표!AS17</f>
        <v>0.55263157894736847</v>
      </c>
      <c r="H34" s="21">
        <f>계산표!AT17</f>
        <v>0</v>
      </c>
      <c r="I34" s="21">
        <f>계산표!AU17</f>
        <v>0.55263157894736847</v>
      </c>
      <c r="J34" s="21">
        <f>계산표!T17</f>
        <v>0.9</v>
      </c>
      <c r="K34" s="21">
        <f>계산표!U17</f>
        <v>0.9</v>
      </c>
      <c r="L34" s="15">
        <f>계산표!AW17</f>
        <v>1</v>
      </c>
      <c r="M34" s="15" t="str">
        <f>계산표!AX17</f>
        <v>포함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>
      <c r="A35" s="15" t="str">
        <f>계산표!A18</f>
        <v>기본 공격</v>
      </c>
      <c r="B35" s="22">
        <f>계산표!H18</f>
        <v>0</v>
      </c>
      <c r="C35" s="22">
        <f>계산표!AL18</f>
        <v>0</v>
      </c>
      <c r="D35" s="22">
        <f>계산표!AO18</f>
        <v>0</v>
      </c>
      <c r="E35" s="21" t="str">
        <f>계산표!AP18</f>
        <v/>
      </c>
      <c r="F35" s="21" t="str">
        <f>계산표!AR18</f>
        <v/>
      </c>
      <c r="G35" s="21" t="str">
        <f>계산표!AS18</f>
        <v/>
      </c>
      <c r="H35" s="21" t="str">
        <f>계산표!AT18</f>
        <v/>
      </c>
      <c r="I35" s="21" t="str">
        <f>계산표!AU18</f>
        <v/>
      </c>
      <c r="J35" s="21">
        <f>계산표!T18</f>
        <v>0.9</v>
      </c>
      <c r="K35" s="21">
        <f>계산표!U18</f>
        <v>0.9</v>
      </c>
      <c r="L35" s="15">
        <f>계산표!AW18</f>
        <v>0</v>
      </c>
      <c r="M35" s="15" t="str">
        <f>계산표!AX18</f>
        <v>실전 미사용/피해 없음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>
      <c r="A36" s="15">
        <f>계산표!A19</f>
        <v>0</v>
      </c>
      <c r="B36" s="22">
        <f>계산표!H19</f>
        <v>0</v>
      </c>
      <c r="C36" s="22">
        <f>계산표!AL19</f>
        <v>0</v>
      </c>
      <c r="D36" s="22">
        <f>계산표!AO19</f>
        <v>0</v>
      </c>
      <c r="E36" s="21" t="str">
        <f>계산표!AP19</f>
        <v/>
      </c>
      <c r="F36" s="21" t="str">
        <f>계산표!AR19</f>
        <v/>
      </c>
      <c r="G36" s="21" t="str">
        <f>계산표!AS19</f>
        <v/>
      </c>
      <c r="H36" s="21" t="str">
        <f>계산표!AT19</f>
        <v/>
      </c>
      <c r="I36" s="21" t="str">
        <f>계산표!AU19</f>
        <v/>
      </c>
      <c r="J36" s="21">
        <f>계산표!T19</f>
        <v>0.9</v>
      </c>
      <c r="K36" s="21">
        <f>계산표!U19</f>
        <v>0.9</v>
      </c>
      <c r="L36" s="15">
        <f>계산표!AW19</f>
        <v>0</v>
      </c>
      <c r="M36" s="15" t="str">
        <f>계산표!AX19</f>
        <v>실전 미사용/피해 없음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>
      <c r="A37" s="15">
        <f>계산표!A20</f>
        <v>0</v>
      </c>
      <c r="B37" s="22">
        <f>계산표!H20</f>
        <v>0</v>
      </c>
      <c r="C37" s="22">
        <f>계산표!AL20</f>
        <v>0</v>
      </c>
      <c r="D37" s="22">
        <f>계산표!AO20</f>
        <v>0</v>
      </c>
      <c r="E37" s="21" t="str">
        <f>계산표!AP20</f>
        <v/>
      </c>
      <c r="F37" s="21" t="str">
        <f>계산표!AR20</f>
        <v/>
      </c>
      <c r="G37" s="21" t="str">
        <f>계산표!AS20</f>
        <v/>
      </c>
      <c r="H37" s="21" t="str">
        <f>계산표!AT20</f>
        <v/>
      </c>
      <c r="I37" s="21" t="str">
        <f>계산표!AU20</f>
        <v/>
      </c>
      <c r="J37" s="21">
        <f>계산표!T20</f>
        <v>0.9</v>
      </c>
      <c r="K37" s="21">
        <f>계산표!U20</f>
        <v>0.9</v>
      </c>
      <c r="L37" s="15">
        <f>계산표!AW20</f>
        <v>0</v>
      </c>
      <c r="M37" s="15" t="str">
        <f>계산표!AX20</f>
        <v>실전 미사용/피해 없음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>
      <c r="A38" s="15">
        <f>계산표!A21</f>
        <v>0</v>
      </c>
      <c r="B38" s="22">
        <f>계산표!H21</f>
        <v>0</v>
      </c>
      <c r="C38" s="22">
        <f>계산표!AL21</f>
        <v>0</v>
      </c>
      <c r="D38" s="22">
        <f>계산표!AO21</f>
        <v>0</v>
      </c>
      <c r="E38" s="21" t="str">
        <f>계산표!AP21</f>
        <v/>
      </c>
      <c r="F38" s="21" t="str">
        <f>계산표!AR21</f>
        <v/>
      </c>
      <c r="G38" s="21" t="str">
        <f>계산표!AS21</f>
        <v/>
      </c>
      <c r="H38" s="21" t="str">
        <f>계산표!AT21</f>
        <v/>
      </c>
      <c r="I38" s="21" t="str">
        <f>계산표!AU21</f>
        <v/>
      </c>
      <c r="J38" s="21">
        <f>계산표!T21</f>
        <v>0.9</v>
      </c>
      <c r="K38" s="21">
        <f>계산표!U21</f>
        <v>0.9</v>
      </c>
      <c r="L38" s="15">
        <f>계산표!AW21</f>
        <v>0</v>
      </c>
      <c r="M38" s="15" t="str">
        <f>계산표!AX21</f>
        <v>실전 미사용/피해 없음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>
      <c r="A39" s="15">
        <f>계산표!A22</f>
        <v>0</v>
      </c>
      <c r="B39" s="22">
        <f>계산표!H22</f>
        <v>0</v>
      </c>
      <c r="C39" s="22">
        <f>계산표!AL22</f>
        <v>0</v>
      </c>
      <c r="D39" s="22">
        <f>계산표!AO22</f>
        <v>0</v>
      </c>
      <c r="E39" s="21" t="str">
        <f>계산표!AP22</f>
        <v/>
      </c>
      <c r="F39" s="21" t="str">
        <f>계산표!AR22</f>
        <v/>
      </c>
      <c r="G39" s="21" t="str">
        <f>계산표!AS22</f>
        <v/>
      </c>
      <c r="H39" s="21" t="str">
        <f>계산표!AT22</f>
        <v/>
      </c>
      <c r="I39" s="21" t="str">
        <f>계산표!AU22</f>
        <v/>
      </c>
      <c r="J39" s="21">
        <f>계산표!T22</f>
        <v>0.9</v>
      </c>
      <c r="K39" s="21">
        <f>계산표!U22</f>
        <v>0.9</v>
      </c>
      <c r="L39" s="15">
        <f>계산표!AW22</f>
        <v>0</v>
      </c>
      <c r="M39" s="15" t="str">
        <f>계산표!AX22</f>
        <v>실전 미사용/피해 없음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>
      <c r="A40" s="15">
        <f>계산표!A23</f>
        <v>0</v>
      </c>
      <c r="B40" s="22">
        <f>계산표!H23</f>
        <v>0</v>
      </c>
      <c r="C40" s="22">
        <f>계산표!AL23</f>
        <v>0</v>
      </c>
      <c r="D40" s="22">
        <f>계산표!AO23</f>
        <v>0</v>
      </c>
      <c r="E40" s="21" t="str">
        <f>계산표!AP23</f>
        <v/>
      </c>
      <c r="F40" s="21" t="str">
        <f>계산표!AR23</f>
        <v/>
      </c>
      <c r="G40" s="21" t="str">
        <f>계산표!AS23</f>
        <v/>
      </c>
      <c r="H40" s="21" t="str">
        <f>계산표!AT23</f>
        <v/>
      </c>
      <c r="I40" s="21" t="str">
        <f>계산표!AU23</f>
        <v/>
      </c>
      <c r="J40" s="21">
        <f>계산표!T23</f>
        <v>0.9</v>
      </c>
      <c r="K40" s="21">
        <f>계산표!U23</f>
        <v>0.9</v>
      </c>
      <c r="L40" s="15">
        <f>계산표!AW23</f>
        <v>0</v>
      </c>
      <c r="M40" s="15" t="str">
        <f>계산표!AX23</f>
        <v>실전 미사용/피해 없음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>
      <c r="A41" s="15">
        <f>계산표!A24</f>
        <v>0</v>
      </c>
      <c r="B41" s="22">
        <f>계산표!H24</f>
        <v>0</v>
      </c>
      <c r="C41" s="22">
        <f>계산표!AL24</f>
        <v>0</v>
      </c>
      <c r="D41" s="22">
        <f>계산표!AO24</f>
        <v>0</v>
      </c>
      <c r="E41" s="21" t="str">
        <f>계산표!AP24</f>
        <v/>
      </c>
      <c r="F41" s="21" t="str">
        <f>계산표!AR24</f>
        <v/>
      </c>
      <c r="G41" s="21" t="str">
        <f>계산표!AS24</f>
        <v/>
      </c>
      <c r="H41" s="21" t="str">
        <f>계산표!AT24</f>
        <v/>
      </c>
      <c r="I41" s="21" t="str">
        <f>계산표!AU24</f>
        <v/>
      </c>
      <c r="J41" s="21">
        <f>계산표!T24</f>
        <v>0.9</v>
      </c>
      <c r="K41" s="21">
        <f>계산표!U24</f>
        <v>0.9</v>
      </c>
      <c r="L41" s="15">
        <f>계산표!AW24</f>
        <v>0</v>
      </c>
      <c r="M41" s="15" t="str">
        <f>계산표!AX24</f>
        <v>실전 미사용/피해 없음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>
      <c r="A42" s="15">
        <f>계산표!A25</f>
        <v>0</v>
      </c>
      <c r="B42" s="22">
        <f>계산표!H25</f>
        <v>0</v>
      </c>
      <c r="C42" s="22">
        <f>계산표!AL25</f>
        <v>0</v>
      </c>
      <c r="D42" s="22">
        <f>계산표!AO25</f>
        <v>0</v>
      </c>
      <c r="E42" s="21" t="str">
        <f>계산표!AP25</f>
        <v/>
      </c>
      <c r="F42" s="21" t="str">
        <f>계산표!AR25</f>
        <v/>
      </c>
      <c r="G42" s="21" t="str">
        <f>계산표!AS25</f>
        <v/>
      </c>
      <c r="H42" s="21" t="str">
        <f>계산표!AT25</f>
        <v/>
      </c>
      <c r="I42" s="21" t="str">
        <f>계산표!AU25</f>
        <v/>
      </c>
      <c r="J42" s="21">
        <f>계산표!T25</f>
        <v>0.9</v>
      </c>
      <c r="K42" s="21">
        <f>계산표!U25</f>
        <v>0.9</v>
      </c>
      <c r="L42" s="15">
        <f>계산표!AW25</f>
        <v>0</v>
      </c>
      <c r="M42" s="15" t="str">
        <f>계산표!AX25</f>
        <v>실전 미사용/피해 없음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>
      <c r="A43" s="15">
        <f>계산표!A26</f>
        <v>0</v>
      </c>
      <c r="B43" s="22">
        <f>계산표!H26</f>
        <v>0</v>
      </c>
      <c r="C43" s="22">
        <f>계산표!AL26</f>
        <v>0</v>
      </c>
      <c r="D43" s="22">
        <f>계산표!AO26</f>
        <v>0</v>
      </c>
      <c r="E43" s="21" t="str">
        <f>계산표!AP26</f>
        <v/>
      </c>
      <c r="F43" s="21" t="str">
        <f>계산표!AR26</f>
        <v/>
      </c>
      <c r="G43" s="21" t="str">
        <f>계산표!AS26</f>
        <v/>
      </c>
      <c r="H43" s="21" t="str">
        <f>계산표!AT26</f>
        <v/>
      </c>
      <c r="I43" s="21" t="str">
        <f>계산표!AU26</f>
        <v/>
      </c>
      <c r="J43" s="21">
        <f>계산표!T26</f>
        <v>0.9</v>
      </c>
      <c r="K43" s="21">
        <f>계산표!U26</f>
        <v>0.9</v>
      </c>
      <c r="L43" s="15">
        <f>계산표!AW26</f>
        <v>0</v>
      </c>
      <c r="M43" s="15" t="str">
        <f>계산표!AX26</f>
        <v>실전 미사용/피해 없음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>
      <c r="A44" s="15">
        <f>계산표!A27</f>
        <v>0</v>
      </c>
      <c r="B44" s="22">
        <f>계산표!H27</f>
        <v>0</v>
      </c>
      <c r="C44" s="22">
        <f>계산표!AL27</f>
        <v>0</v>
      </c>
      <c r="D44" s="22">
        <f>계산표!AO27</f>
        <v>0</v>
      </c>
      <c r="E44" s="21" t="str">
        <f>계산표!AP27</f>
        <v/>
      </c>
      <c r="F44" s="21" t="str">
        <f>계산표!AR27</f>
        <v/>
      </c>
      <c r="G44" s="21" t="str">
        <f>계산표!AS27</f>
        <v/>
      </c>
      <c r="H44" s="21" t="str">
        <f>계산표!AT27</f>
        <v/>
      </c>
      <c r="I44" s="21" t="str">
        <f>계산표!AU27</f>
        <v/>
      </c>
      <c r="J44" s="21">
        <f>계산표!T27</f>
        <v>0.9</v>
      </c>
      <c r="K44" s="21">
        <f>계산표!U27</f>
        <v>0.9</v>
      </c>
      <c r="L44" s="15">
        <f>계산표!AW27</f>
        <v>0</v>
      </c>
      <c r="M44" s="15" t="str">
        <f>계산표!AX27</f>
        <v>실전 미사용/피해 없음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>
      <c r="A45" s="15">
        <f>계산표!A28</f>
        <v>0</v>
      </c>
      <c r="B45" s="22">
        <f>계산표!H28</f>
        <v>0</v>
      </c>
      <c r="C45" s="22">
        <f>계산표!AL28</f>
        <v>0</v>
      </c>
      <c r="D45" s="22">
        <f>계산표!AO28</f>
        <v>0</v>
      </c>
      <c r="E45" s="21" t="str">
        <f>계산표!AP28</f>
        <v/>
      </c>
      <c r="F45" s="21" t="str">
        <f>계산표!AR28</f>
        <v/>
      </c>
      <c r="G45" s="21" t="str">
        <f>계산표!AS28</f>
        <v/>
      </c>
      <c r="H45" s="21" t="str">
        <f>계산표!AT28</f>
        <v/>
      </c>
      <c r="I45" s="21" t="str">
        <f>계산표!AU28</f>
        <v/>
      </c>
      <c r="J45" s="21">
        <f>계산표!T28</f>
        <v>0.9</v>
      </c>
      <c r="K45" s="21">
        <f>계산표!U28</f>
        <v>0.9</v>
      </c>
      <c r="L45" s="15">
        <f>계산표!AW28</f>
        <v>0</v>
      </c>
      <c r="M45" s="15" t="str">
        <f>계산표!AX28</f>
        <v>실전 미사용/피해 없음</v>
      </c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>
      <c r="A46" s="15">
        <f>계산표!A29</f>
        <v>0</v>
      </c>
      <c r="B46" s="22">
        <f>계산표!H29</f>
        <v>0</v>
      </c>
      <c r="C46" s="22">
        <f>계산표!AL29</f>
        <v>0</v>
      </c>
      <c r="D46" s="22">
        <f>계산표!AO29</f>
        <v>0</v>
      </c>
      <c r="E46" s="21" t="str">
        <f>계산표!AP29</f>
        <v/>
      </c>
      <c r="F46" s="21" t="str">
        <f>계산표!AR29</f>
        <v/>
      </c>
      <c r="G46" s="21" t="str">
        <f>계산표!AS29</f>
        <v/>
      </c>
      <c r="H46" s="21" t="str">
        <f>계산표!AT29</f>
        <v/>
      </c>
      <c r="I46" s="21" t="str">
        <f>계산표!AU29</f>
        <v/>
      </c>
      <c r="J46" s="21">
        <f>계산표!T29</f>
        <v>0.9</v>
      </c>
      <c r="K46" s="21">
        <f>계산표!U29</f>
        <v>0.9</v>
      </c>
      <c r="L46" s="15">
        <f>계산표!AW29</f>
        <v>0</v>
      </c>
      <c r="M46" s="15" t="str">
        <f>계산표!AX29</f>
        <v>실전 미사용/피해 없음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>
      <c r="A47" s="15">
        <f>계산표!A30</f>
        <v>0</v>
      </c>
      <c r="B47" s="22">
        <f>계산표!H30</f>
        <v>0</v>
      </c>
      <c r="C47" s="22">
        <f>계산표!AL30</f>
        <v>0</v>
      </c>
      <c r="D47" s="22">
        <f>계산표!AO30</f>
        <v>0</v>
      </c>
      <c r="E47" s="21" t="str">
        <f>계산표!AP30</f>
        <v/>
      </c>
      <c r="F47" s="21" t="str">
        <f>계산표!AR30</f>
        <v/>
      </c>
      <c r="G47" s="21" t="str">
        <f>계산표!AS30</f>
        <v/>
      </c>
      <c r="H47" s="21" t="str">
        <f>계산표!AT30</f>
        <v/>
      </c>
      <c r="I47" s="21" t="str">
        <f>계산표!AU30</f>
        <v/>
      </c>
      <c r="J47" s="21">
        <f>계산표!T30</f>
        <v>0.9</v>
      </c>
      <c r="K47" s="21">
        <f>계산표!U30</f>
        <v>0.9</v>
      </c>
      <c r="L47" s="15">
        <f>계산표!AW30</f>
        <v>0</v>
      </c>
      <c r="M47" s="15" t="str">
        <f>계산표!AX30</f>
        <v>실전 미사용/피해 없음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>
      <c r="A48" s="15">
        <f>계산표!A31</f>
        <v>0</v>
      </c>
      <c r="B48" s="22">
        <f>계산표!H31</f>
        <v>0</v>
      </c>
      <c r="C48" s="22">
        <f>계산표!AL31</f>
        <v>0</v>
      </c>
      <c r="D48" s="22">
        <f>계산표!AO31</f>
        <v>0</v>
      </c>
      <c r="E48" s="21" t="str">
        <f>계산표!AP31</f>
        <v/>
      </c>
      <c r="F48" s="21" t="str">
        <f>계산표!AR31</f>
        <v/>
      </c>
      <c r="G48" s="21" t="str">
        <f>계산표!AS31</f>
        <v/>
      </c>
      <c r="H48" s="21" t="str">
        <f>계산표!AT31</f>
        <v/>
      </c>
      <c r="I48" s="21" t="str">
        <f>계산표!AU31</f>
        <v/>
      </c>
      <c r="J48" s="21">
        <f>계산표!T31</f>
        <v>0.9</v>
      </c>
      <c r="K48" s="21">
        <f>계산표!U31</f>
        <v>0.9</v>
      </c>
      <c r="L48" s="15">
        <f>계산표!AW31</f>
        <v>0</v>
      </c>
      <c r="M48" s="15" t="str">
        <f>계산표!AX31</f>
        <v>실전 미사용/피해 없음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>
      <c r="A49" s="15">
        <f>계산표!A32</f>
        <v>0</v>
      </c>
      <c r="B49" s="22">
        <f>계산표!H32</f>
        <v>0</v>
      </c>
      <c r="C49" s="22">
        <f>계산표!AL32</f>
        <v>0</v>
      </c>
      <c r="D49" s="22">
        <f>계산표!AO32</f>
        <v>0</v>
      </c>
      <c r="E49" s="21" t="str">
        <f>계산표!AP32</f>
        <v/>
      </c>
      <c r="F49" s="21" t="str">
        <f>계산표!AR32</f>
        <v/>
      </c>
      <c r="G49" s="21" t="str">
        <f>계산표!AS32</f>
        <v/>
      </c>
      <c r="H49" s="21" t="str">
        <f>계산표!AT32</f>
        <v/>
      </c>
      <c r="I49" s="21" t="str">
        <f>계산표!AU32</f>
        <v/>
      </c>
      <c r="J49" s="21">
        <f>계산표!T32</f>
        <v>0.9</v>
      </c>
      <c r="K49" s="21">
        <f>계산표!U32</f>
        <v>0.9</v>
      </c>
      <c r="L49" s="15">
        <f>계산표!AW32</f>
        <v>0</v>
      </c>
      <c r="M49" s="15" t="str">
        <f>계산표!AX32</f>
        <v>실전 미사용/피해 없음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>
      <c r="A50" s="15">
        <f>계산표!A33</f>
        <v>0</v>
      </c>
      <c r="B50" s="22">
        <f>계산표!H33</f>
        <v>0</v>
      </c>
      <c r="C50" s="22">
        <f>계산표!AL33</f>
        <v>0</v>
      </c>
      <c r="D50" s="22">
        <f>계산표!AO33</f>
        <v>0</v>
      </c>
      <c r="E50" s="21" t="str">
        <f>계산표!AP33</f>
        <v/>
      </c>
      <c r="F50" s="21" t="str">
        <f>계산표!AR33</f>
        <v/>
      </c>
      <c r="G50" s="21" t="str">
        <f>계산표!AS33</f>
        <v/>
      </c>
      <c r="H50" s="21" t="str">
        <f>계산표!AT33</f>
        <v/>
      </c>
      <c r="I50" s="21" t="str">
        <f>계산표!AU33</f>
        <v/>
      </c>
      <c r="J50" s="21">
        <f>계산표!T33</f>
        <v>0.9</v>
      </c>
      <c r="K50" s="21">
        <f>계산표!U33</f>
        <v>0.9</v>
      </c>
      <c r="L50" s="15">
        <f>계산표!AW33</f>
        <v>0</v>
      </c>
      <c r="M50" s="15" t="str">
        <f>계산표!AX33</f>
        <v>실전 미사용/피해 없음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>
      <c r="A51" s="15">
        <f>계산표!A34</f>
        <v>0</v>
      </c>
      <c r="B51" s="22">
        <f>계산표!H34</f>
        <v>0</v>
      </c>
      <c r="C51" s="22">
        <f>계산표!AL34</f>
        <v>0</v>
      </c>
      <c r="D51" s="22">
        <f>계산표!AO34</f>
        <v>0</v>
      </c>
      <c r="E51" s="21" t="str">
        <f>계산표!AP34</f>
        <v/>
      </c>
      <c r="F51" s="21" t="str">
        <f>계산표!AR34</f>
        <v/>
      </c>
      <c r="G51" s="21" t="str">
        <f>계산표!AS34</f>
        <v/>
      </c>
      <c r="H51" s="21" t="str">
        <f>계산표!AT34</f>
        <v/>
      </c>
      <c r="I51" s="21" t="str">
        <f>계산표!AU34</f>
        <v/>
      </c>
      <c r="J51" s="21">
        <f>계산표!T34</f>
        <v>0.9</v>
      </c>
      <c r="K51" s="21">
        <f>계산표!U34</f>
        <v>0.9</v>
      </c>
      <c r="L51" s="15">
        <f>계산표!AW34</f>
        <v>0</v>
      </c>
      <c r="M51" s="15" t="str">
        <f>계산표!AX34</f>
        <v>실전 미사용/피해 없음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>
      <c r="A52" s="15">
        <f>계산표!A35</f>
        <v>0</v>
      </c>
      <c r="B52" s="22">
        <f>계산표!H35</f>
        <v>0</v>
      </c>
      <c r="C52" s="22">
        <f>계산표!AL35</f>
        <v>0</v>
      </c>
      <c r="D52" s="22">
        <f>계산표!AO35</f>
        <v>0</v>
      </c>
      <c r="E52" s="21" t="str">
        <f>계산표!AP35</f>
        <v/>
      </c>
      <c r="F52" s="21" t="str">
        <f>계산표!AR35</f>
        <v/>
      </c>
      <c r="G52" s="21" t="str">
        <f>계산표!AS35</f>
        <v/>
      </c>
      <c r="H52" s="21" t="str">
        <f>계산표!AT35</f>
        <v/>
      </c>
      <c r="I52" s="21" t="str">
        <f>계산표!AU35</f>
        <v/>
      </c>
      <c r="J52" s="21">
        <f>계산표!T35</f>
        <v>0.9</v>
      </c>
      <c r="K52" s="21">
        <f>계산표!U35</f>
        <v>0.9</v>
      </c>
      <c r="L52" s="15">
        <f>계산표!AW35</f>
        <v>0</v>
      </c>
      <c r="M52" s="15" t="str">
        <f>계산표!AX35</f>
        <v>실전 미사용/피해 없음</v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>
      <c r="A53" s="15">
        <f>계산표!A36</f>
        <v>0</v>
      </c>
      <c r="B53" s="22">
        <f>계산표!H36</f>
        <v>0</v>
      </c>
      <c r="C53" s="22">
        <f>계산표!AL36</f>
        <v>0</v>
      </c>
      <c r="D53" s="22">
        <f>계산표!AO36</f>
        <v>0</v>
      </c>
      <c r="E53" s="21" t="str">
        <f>계산표!AP36</f>
        <v/>
      </c>
      <c r="F53" s="21" t="str">
        <f>계산표!AR36</f>
        <v/>
      </c>
      <c r="G53" s="21" t="str">
        <f>계산표!AS36</f>
        <v/>
      </c>
      <c r="H53" s="21" t="str">
        <f>계산표!AT36</f>
        <v/>
      </c>
      <c r="I53" s="21" t="str">
        <f>계산표!AU36</f>
        <v/>
      </c>
      <c r="J53" s="21">
        <f>계산표!T36</f>
        <v>0.9</v>
      </c>
      <c r="K53" s="21">
        <f>계산표!U36</f>
        <v>0.9</v>
      </c>
      <c r="L53" s="15">
        <f>계산표!AW36</f>
        <v>0</v>
      </c>
      <c r="M53" s="15" t="str">
        <f>계산표!AX36</f>
        <v>실전 미사용/피해 없음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>
      <c r="A54" s="15">
        <f>계산표!A37</f>
        <v>0</v>
      </c>
      <c r="B54" s="22">
        <f>계산표!H37</f>
        <v>0</v>
      </c>
      <c r="C54" s="22">
        <f>계산표!AL37</f>
        <v>0</v>
      </c>
      <c r="D54" s="22">
        <f>계산표!AO37</f>
        <v>0</v>
      </c>
      <c r="E54" s="21" t="str">
        <f>계산표!AP37</f>
        <v/>
      </c>
      <c r="F54" s="21" t="str">
        <f>계산표!AR37</f>
        <v/>
      </c>
      <c r="G54" s="21" t="str">
        <f>계산표!AS37</f>
        <v/>
      </c>
      <c r="H54" s="21" t="str">
        <f>계산표!AT37</f>
        <v/>
      </c>
      <c r="I54" s="21" t="str">
        <f>계산표!AU37</f>
        <v/>
      </c>
      <c r="J54" s="21">
        <f>계산표!T37</f>
        <v>0.9</v>
      </c>
      <c r="K54" s="21">
        <f>계산표!U37</f>
        <v>0.9</v>
      </c>
      <c r="L54" s="15">
        <f>계산표!AW37</f>
        <v>0</v>
      </c>
      <c r="M54" s="15" t="str">
        <f>계산표!AX37</f>
        <v>실전 미사용/피해 없음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>
      <c r="A55" s="15">
        <f>계산표!A38</f>
        <v>0</v>
      </c>
      <c r="B55" s="22">
        <f>계산표!H38</f>
        <v>0</v>
      </c>
      <c r="C55" s="22">
        <f>계산표!AL38</f>
        <v>0</v>
      </c>
      <c r="D55" s="22">
        <f>계산표!AO38</f>
        <v>0</v>
      </c>
      <c r="E55" s="21" t="str">
        <f>계산표!AP38</f>
        <v/>
      </c>
      <c r="F55" s="21" t="str">
        <f>계산표!AR38</f>
        <v/>
      </c>
      <c r="G55" s="21" t="str">
        <f>계산표!AS38</f>
        <v/>
      </c>
      <c r="H55" s="21" t="str">
        <f>계산표!AT38</f>
        <v/>
      </c>
      <c r="I55" s="21" t="str">
        <f>계산표!AU38</f>
        <v/>
      </c>
      <c r="J55" s="21">
        <f>계산표!T38</f>
        <v>0.9</v>
      </c>
      <c r="K55" s="21">
        <f>계산표!U38</f>
        <v>0.9</v>
      </c>
      <c r="L55" s="15">
        <f>계산표!AW38</f>
        <v>0</v>
      </c>
      <c r="M55" s="15" t="str">
        <f>계산표!AX38</f>
        <v>실전 미사용/피해 없음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>
      <c r="A56" s="15">
        <f>계산표!A39</f>
        <v>0</v>
      </c>
      <c r="B56" s="22">
        <f>계산표!H39</f>
        <v>0</v>
      </c>
      <c r="C56" s="22">
        <f>계산표!AL39</f>
        <v>0</v>
      </c>
      <c r="D56" s="22">
        <f>계산표!AO39</f>
        <v>0</v>
      </c>
      <c r="E56" s="21" t="str">
        <f>계산표!AP39</f>
        <v/>
      </c>
      <c r="F56" s="21" t="str">
        <f>계산표!AR39</f>
        <v/>
      </c>
      <c r="G56" s="21" t="str">
        <f>계산표!AS39</f>
        <v/>
      </c>
      <c r="H56" s="21" t="str">
        <f>계산표!AT39</f>
        <v/>
      </c>
      <c r="I56" s="21" t="str">
        <f>계산표!AU39</f>
        <v/>
      </c>
      <c r="J56" s="21">
        <f>계산표!T39</f>
        <v>0.9</v>
      </c>
      <c r="K56" s="21">
        <f>계산표!U39</f>
        <v>0.9</v>
      </c>
      <c r="L56" s="15">
        <f>계산표!AW39</f>
        <v>0</v>
      </c>
      <c r="M56" s="15" t="str">
        <f>계산표!AX39</f>
        <v>실전 미사용/피해 없음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>
      <c r="A57" s="15">
        <f>계산표!A40</f>
        <v>0</v>
      </c>
      <c r="B57" s="22">
        <f>계산표!H40</f>
        <v>0</v>
      </c>
      <c r="C57" s="22">
        <f>계산표!AL40</f>
        <v>0</v>
      </c>
      <c r="D57" s="22">
        <f>계산표!AO40</f>
        <v>0</v>
      </c>
      <c r="E57" s="21" t="str">
        <f>계산표!AP40</f>
        <v/>
      </c>
      <c r="F57" s="21" t="str">
        <f>계산표!AR40</f>
        <v/>
      </c>
      <c r="G57" s="21" t="str">
        <f>계산표!AS40</f>
        <v/>
      </c>
      <c r="H57" s="21" t="str">
        <f>계산표!AT40</f>
        <v/>
      </c>
      <c r="I57" s="21" t="str">
        <f>계산표!AU40</f>
        <v/>
      </c>
      <c r="J57" s="21">
        <f>계산표!T40</f>
        <v>0.9</v>
      </c>
      <c r="K57" s="21">
        <f>계산표!U40</f>
        <v>0.9</v>
      </c>
      <c r="L57" s="15">
        <f>계산표!AW40</f>
        <v>0</v>
      </c>
      <c r="M57" s="15" t="str">
        <f>계산표!AX40</f>
        <v>실전 미사용/피해 없음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>
      <c r="A58" s="15">
        <f>계산표!A41</f>
        <v>0</v>
      </c>
      <c r="B58" s="22">
        <f>계산표!H41</f>
        <v>0</v>
      </c>
      <c r="C58" s="22">
        <f>계산표!AL41</f>
        <v>0</v>
      </c>
      <c r="D58" s="22">
        <f>계산표!AO41</f>
        <v>0</v>
      </c>
      <c r="E58" s="21" t="str">
        <f>계산표!AP41</f>
        <v/>
      </c>
      <c r="F58" s="21" t="str">
        <f>계산표!AR41</f>
        <v/>
      </c>
      <c r="G58" s="21" t="str">
        <f>계산표!AS41</f>
        <v/>
      </c>
      <c r="H58" s="21" t="str">
        <f>계산표!AT41</f>
        <v/>
      </c>
      <c r="I58" s="21" t="str">
        <f>계산표!AU41</f>
        <v/>
      </c>
      <c r="J58" s="21">
        <f>계산표!T41</f>
        <v>0.9</v>
      </c>
      <c r="K58" s="21">
        <f>계산표!U41</f>
        <v>0.9</v>
      </c>
      <c r="L58" s="15">
        <f>계산표!AW41</f>
        <v>0</v>
      </c>
      <c r="M58" s="15" t="str">
        <f>계산표!AX41</f>
        <v>실전 미사용/피해 없음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>
      <c r="A59" s="15">
        <f>계산표!A42</f>
        <v>0</v>
      </c>
      <c r="B59" s="22">
        <f>계산표!H42</f>
        <v>0</v>
      </c>
      <c r="C59" s="22">
        <f>계산표!AL42</f>
        <v>0</v>
      </c>
      <c r="D59" s="22">
        <f>계산표!AO42</f>
        <v>0</v>
      </c>
      <c r="E59" s="21" t="str">
        <f>계산표!AP42</f>
        <v/>
      </c>
      <c r="F59" s="21" t="str">
        <f>계산표!AR42</f>
        <v/>
      </c>
      <c r="G59" s="21" t="str">
        <f>계산표!AS42</f>
        <v/>
      </c>
      <c r="H59" s="21" t="str">
        <f>계산표!AT42</f>
        <v/>
      </c>
      <c r="I59" s="21" t="str">
        <f>계산표!AU42</f>
        <v/>
      </c>
      <c r="J59" s="21">
        <f>계산표!T42</f>
        <v>0.9</v>
      </c>
      <c r="K59" s="21">
        <f>계산표!U42</f>
        <v>0.9</v>
      </c>
      <c r="L59" s="15">
        <f>계산표!AW42</f>
        <v>0</v>
      </c>
      <c r="M59" s="15" t="str">
        <f>계산표!AX42</f>
        <v>실전 미사용/피해 없음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>
      <c r="A60" s="15">
        <f>계산표!A43</f>
        <v>0</v>
      </c>
      <c r="B60" s="22">
        <f>계산표!H43</f>
        <v>0</v>
      </c>
      <c r="C60" s="22">
        <f>계산표!AL43</f>
        <v>0</v>
      </c>
      <c r="D60" s="22">
        <f>계산표!AO43</f>
        <v>0</v>
      </c>
      <c r="E60" s="21" t="str">
        <f>계산표!AP43</f>
        <v/>
      </c>
      <c r="F60" s="21" t="str">
        <f>계산표!AR43</f>
        <v/>
      </c>
      <c r="G60" s="21" t="str">
        <f>계산표!AS43</f>
        <v/>
      </c>
      <c r="H60" s="21" t="str">
        <f>계산표!AT43</f>
        <v/>
      </c>
      <c r="I60" s="21" t="str">
        <f>계산표!AU43</f>
        <v/>
      </c>
      <c r="J60" s="21">
        <f>계산표!T43</f>
        <v>0.9</v>
      </c>
      <c r="K60" s="21">
        <f>계산표!U43</f>
        <v>0.9</v>
      </c>
      <c r="L60" s="15">
        <f>계산표!AW43</f>
        <v>0</v>
      </c>
      <c r="M60" s="15" t="str">
        <f>계산표!AX43</f>
        <v>실전 미사용/피해 없음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</sheetData>
  <mergeCells count="1">
    <mergeCell ref="A1:M1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00"/>
  <sheetViews>
    <sheetView tabSelected="1" workbookViewId="0">
      <selection activeCell="F30" sqref="F30"/>
    </sheetView>
  </sheetViews>
  <sheetFormatPr defaultRowHeight="14.25"/>
  <cols>
    <col min="1" max="1" width="22.625" customWidth="1"/>
    <col min="2" max="2" width="21.875" customWidth="1"/>
    <col min="3" max="3" width="29.75" customWidth="1"/>
    <col min="4" max="4" width="20.125" customWidth="1"/>
    <col min="5" max="5" width="10.125" customWidth="1"/>
    <col min="6" max="6" width="13.75" customWidth="1"/>
    <col min="7" max="8" width="12" customWidth="1"/>
    <col min="9" max="11" width="10" customWidth="1"/>
    <col min="12" max="12" width="12" customWidth="1"/>
    <col min="13" max="13" width="16.25" customWidth="1"/>
    <col min="14" max="14" width="8.25" customWidth="1"/>
    <col min="15" max="15" width="18" customWidth="1"/>
    <col min="16" max="16" width="48" customWidth="1"/>
    <col min="17" max="17" width="18.25" customWidth="1"/>
    <col min="18" max="18" width="12.375" customWidth="1"/>
    <col min="19" max="19" width="10.125" customWidth="1"/>
    <col min="20" max="20" width="13" customWidth="1"/>
    <col min="21" max="21" width="12" customWidth="1"/>
    <col min="22" max="22" width="16" customWidth="1"/>
    <col min="23" max="23" width="14.25" customWidth="1"/>
    <col min="24" max="24" width="8.25" customWidth="1"/>
    <col min="25" max="25" width="7" customWidth="1"/>
    <col min="26" max="26" width="13" customWidth="1"/>
  </cols>
  <sheetData>
    <row r="1" spans="1:26" ht="18.75">
      <c r="A1" s="54" t="s">
        <v>207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15"/>
    </row>
    <row r="2" spans="1:26">
      <c r="A2" s="56" t="s">
        <v>208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15"/>
    </row>
    <row r="3" spans="1:26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">
      <c r="A4" s="3" t="s">
        <v>178</v>
      </c>
      <c r="B4" s="3" t="s">
        <v>49</v>
      </c>
      <c r="C4" s="3" t="s">
        <v>179</v>
      </c>
      <c r="D4" s="3" t="s">
        <v>108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57" t="s">
        <v>209</v>
      </c>
      <c r="R4" s="57"/>
      <c r="S4" s="57"/>
      <c r="T4" s="57"/>
      <c r="U4" s="57"/>
      <c r="V4" s="57" t="s">
        <v>210</v>
      </c>
      <c r="W4" s="57"/>
      <c r="X4" s="57"/>
      <c r="Y4" s="57"/>
      <c r="Z4" s="15"/>
    </row>
    <row r="5" spans="1:26" ht="30">
      <c r="A5" s="15" t="s">
        <v>194</v>
      </c>
      <c r="B5" s="21">
        <f>결과!B11</f>
        <v>0.78700258197345019</v>
      </c>
      <c r="C5" s="15" t="s">
        <v>211</v>
      </c>
      <c r="D5" s="15" t="s">
        <v>212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26" t="s">
        <v>213</v>
      </c>
      <c r="R5" s="26" t="s">
        <v>8</v>
      </c>
      <c r="S5" s="26" t="s">
        <v>214</v>
      </c>
      <c r="T5" s="26" t="s">
        <v>215</v>
      </c>
      <c r="U5" s="26" t="s">
        <v>216</v>
      </c>
      <c r="V5" s="26" t="s">
        <v>217</v>
      </c>
      <c r="W5" s="26" t="s">
        <v>218</v>
      </c>
      <c r="X5" s="26" t="s">
        <v>219</v>
      </c>
      <c r="Y5" s="26" t="s">
        <v>220</v>
      </c>
      <c r="Z5" s="45" t="s">
        <v>0</v>
      </c>
    </row>
    <row r="6" spans="1:26" ht="57">
      <c r="A6" s="15" t="s">
        <v>182</v>
      </c>
      <c r="B6" s="22">
        <f>결과!B5</f>
        <v>4569.4936623355334</v>
      </c>
      <c r="C6" s="15" t="s">
        <v>221</v>
      </c>
      <c r="D6" s="15" t="s">
        <v>222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7">
        <v>1</v>
      </c>
      <c r="R6" s="31" t="str">
        <f>IFERROR(INDEX($B$19:$B$58,MATCH($Q6,$A$19:$A$58,0)),"")</f>
        <v>허리케인 소드</v>
      </c>
      <c r="S6" s="28">
        <f>IFERROR(INDEX($E$19:$E$58,MATCH($Q6,$A$19:$A$58,0)),"")</f>
        <v>2076.0114875333438</v>
      </c>
      <c r="T6" s="30">
        <f t="shared" ref="T6:T15" si="0">IFERROR(INDEX($G$19:$G$58,MATCH($Q6,$A$19:$A$58,0)),"")</f>
        <v>624.42781073743436</v>
      </c>
      <c r="U6" s="29">
        <f t="shared" ref="U6:U15" si="1">IFERROR(INDEX($H$19:$H$58,MATCH($Q6,$A$19:$A$58,0)),0)</f>
        <v>0.1366514228664627</v>
      </c>
      <c r="V6" s="29">
        <f t="shared" ref="V6:V15" si="2">IFERROR(INDEX($Q$19:$Q$58,MATCH($Q6,$A$19:$A$58,0)),"")</f>
        <v>0.36589447040636053</v>
      </c>
      <c r="W6" s="32" t="str">
        <f t="shared" ref="W6:W15" si="3">IFERROR(INDEX($O$19:$O$58,MATCH($Q6,$A$19:$A$58,0)),"")</f>
        <v>사용횟수/쿨 밀림</v>
      </c>
      <c r="X6" s="32" t="str">
        <f t="shared" ref="X6:X15" si="4">IFERROR(INDEX($R$19:$R$58,MATCH($Q6,$A$19:$A$58,0)),"")</f>
        <v>일부 개선만으로 목표 가능</v>
      </c>
      <c r="Y6" s="30">
        <f>IFERROR(INDEX($S$19:$S$58,MATCH($Q6,$A$19:$A$58,0)),"")</f>
        <v>3.6</v>
      </c>
      <c r="Z6" s="45" t="str">
        <f>IFERROR(INDEX(계산표!$AV$4:$AV$43,MATCH(R6,계산표!$A$4:$A$43,0)),"")</f>
        <v>주딜기</v>
      </c>
    </row>
    <row r="7" spans="1:26" ht="28.5">
      <c r="A7" s="15" t="s">
        <v>188</v>
      </c>
      <c r="B7" s="22">
        <f>결과!B8</f>
        <v>5806.199073549783</v>
      </c>
      <c r="C7" s="15" t="s">
        <v>189</v>
      </c>
      <c r="D7" s="15" t="s">
        <v>222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27">
        <v>2</v>
      </c>
      <c r="R7" s="31" t="str">
        <f t="shared" ref="R7:R15" si="5">IFERROR(INDEX($B$19:$B$58,MATCH($Q7,$A$19:$A$58,0)),"")</f>
        <v>브루탈 임팩트</v>
      </c>
      <c r="S7" s="28">
        <f>IFERROR(INDEX($E$19:$E$58,MATCH($Q7,$A$19:$A$58,0)),"")</f>
        <v>533.70900000000006</v>
      </c>
      <c r="T7" s="30">
        <f t="shared" si="0"/>
        <v>140.54899359556464</v>
      </c>
      <c r="U7" s="29">
        <f t="shared" si="1"/>
        <v>3.0758111069078067E-2</v>
      </c>
      <c r="V7" s="29">
        <f t="shared" si="2"/>
        <v>1.6255874714707792</v>
      </c>
      <c r="W7" s="32" t="str">
        <f t="shared" si="3"/>
        <v>사용횟수/쿨 밀림</v>
      </c>
      <c r="X7" s="32" t="str">
        <f t="shared" si="4"/>
        <v>보조 개선 후보</v>
      </c>
      <c r="Y7" s="30">
        <f t="shared" ref="Y7:Y15" si="6">IFERROR(INDEX($S$19:$S$58,MATCH($Q7,$A$19:$A$58,0)),"")</f>
        <v>2.6</v>
      </c>
      <c r="Z7" s="45" t="str">
        <f>IFERROR(INDEX(계산표!$AV$4:$AV$43,MATCH(R7,계산표!$A$4:$A$43,0)),"")</f>
        <v>주딜기</v>
      </c>
    </row>
    <row r="8" spans="1:26" ht="28.5">
      <c r="A8" s="15" t="s">
        <v>223</v>
      </c>
      <c r="B8" s="22">
        <f>MAX(0,B7-B6)</f>
        <v>1236.7054112142496</v>
      </c>
      <c r="C8" s="15" t="s">
        <v>224</v>
      </c>
      <c r="D8" s="15" t="s">
        <v>225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27">
        <v>3</v>
      </c>
      <c r="R8" s="31" t="str">
        <f>IFERROR(INDEX($B$19:$B$58,MATCH($Q8,$A$19:$A$58,0)),"")</f>
        <v>볼케이노 이럽션</v>
      </c>
      <c r="S8" s="28">
        <f t="shared" ref="S8:S14" si="7">IFERROR(INDEX($E$19:$E$58,MATCH($Q8,$A$19:$A$58,0)),"")</f>
        <v>399.39141955835964</v>
      </c>
      <c r="T8" s="30">
        <f t="shared" si="0"/>
        <v>114.31639029193491</v>
      </c>
      <c r="U8" s="29">
        <f t="shared" si="1"/>
        <v>2.5017299232560086E-2</v>
      </c>
      <c r="V8" s="29">
        <f t="shared" si="2"/>
        <v>1.9986170183760228</v>
      </c>
      <c r="W8" s="32" t="str">
        <f t="shared" si="3"/>
        <v>사용횟수/쿨 밀림</v>
      </c>
      <c r="X8" s="32" t="str">
        <f t="shared" si="4"/>
        <v>보조 개선 후보</v>
      </c>
      <c r="Y8" s="30">
        <f t="shared" si="6"/>
        <v>2.6</v>
      </c>
      <c r="Z8" s="45" t="str">
        <f>IFERROR(INDEX(계산표!$AV$4:$AV$43,MATCH(R8,계산표!$A$4:$A$43,0)),"")</f>
        <v>주딜기</v>
      </c>
    </row>
    <row r="9" spans="1:26" ht="28.5">
      <c r="A9" s="15" t="s">
        <v>226</v>
      </c>
      <c r="B9" s="21">
        <f>IFERROR(B8/B6,0)</f>
        <v>0.27064386179324557</v>
      </c>
      <c r="C9" s="15" t="s">
        <v>227</v>
      </c>
      <c r="D9" s="15" t="s">
        <v>228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27">
        <v>4</v>
      </c>
      <c r="R9" s="31" t="str">
        <f>IFERROR(INDEX($B$19:$B$58,MATCH($Q9,$A$19:$A$58,0)),"")</f>
        <v>길로틴</v>
      </c>
      <c r="S9" s="28">
        <f>IFERROR(INDEX($E$19:$E$58,MATCH($Q9,$A$19:$A$58,0)),"")</f>
        <v>429.67027435187515</v>
      </c>
      <c r="T9" s="30">
        <f t="shared" si="0"/>
        <v>84.075971282923774</v>
      </c>
      <c r="U9" s="29">
        <f t="shared" si="1"/>
        <v>1.8399406476023287E-2</v>
      </c>
      <c r="V9" s="29">
        <f t="shared" si="2"/>
        <v>2.717478961354336</v>
      </c>
      <c r="W9" s="32" t="str">
        <f t="shared" si="3"/>
        <v>포지션/백·헤드</v>
      </c>
      <c r="X9" s="32" t="str">
        <f t="shared" si="4"/>
        <v>보조 개선 후보</v>
      </c>
      <c r="Y9" s="30">
        <f t="shared" si="6"/>
        <v>2.6</v>
      </c>
      <c r="Z9" s="45" t="str">
        <f>IFERROR(INDEX(계산표!$AV$4:$AV$43,MATCH(R9,계산표!$A$4:$A$43,0)),"")</f>
        <v>주딜기</v>
      </c>
    </row>
    <row r="10" spans="1:26" ht="28.5">
      <c r="A10" s="15" t="s">
        <v>229</v>
      </c>
      <c r="B10" s="21">
        <f>설정!B18</f>
        <v>0.05</v>
      </c>
      <c r="C10" s="15" t="s">
        <v>230</v>
      </c>
      <c r="D10" s="15" t="s">
        <v>231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27">
        <v>5</v>
      </c>
      <c r="R10" s="31" t="str">
        <f>IFERROR(INDEX($B$19:$B$58,MATCH($Q10,$A$19:$A$58,0)),"")</f>
        <v>파이널 블로</v>
      </c>
      <c r="S10" s="28">
        <f>IFERROR(INDEX($E$19:$E$58,MATCH($Q10,$A$19:$A$58,0)),"")</f>
        <v>250.09221814500827</v>
      </c>
      <c r="T10" s="30">
        <f t="shared" si="0"/>
        <v>59.530425793241392</v>
      </c>
      <c r="U10" s="29">
        <f t="shared" si="1"/>
        <v>1.3027794804471736E-2</v>
      </c>
      <c r="V10" s="29">
        <f t="shared" si="2"/>
        <v>3.8379480756664748</v>
      </c>
      <c r="W10" s="32" t="str">
        <f t="shared" si="3"/>
        <v>사용횟수/쿨 밀림</v>
      </c>
      <c r="X10" s="32" t="str">
        <f t="shared" si="4"/>
        <v>보조 개선 후보</v>
      </c>
      <c r="Y10" s="30">
        <f t="shared" si="6"/>
        <v>2.6</v>
      </c>
      <c r="Z10" s="45" t="str">
        <f>IFERROR(INDEX(계산표!$AV$4:$AV$43,MATCH(R10,계산표!$A$4:$A$43,0)),"")</f>
        <v>주딜기</v>
      </c>
    </row>
    <row r="11" spans="1:26" ht="28.5">
      <c r="A11" s="15" t="s">
        <v>232</v>
      </c>
      <c r="B11" s="22">
        <f>B6*B10</f>
        <v>228.47468311677667</v>
      </c>
      <c r="C11" s="15" t="s">
        <v>233</v>
      </c>
      <c r="D11" s="15" t="s">
        <v>234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27">
        <v>6</v>
      </c>
      <c r="R11" s="31" t="str">
        <f t="shared" si="5"/>
        <v>플레임 블레이드</v>
      </c>
      <c r="S11" s="28">
        <f t="shared" si="7"/>
        <v>529.85625193846181</v>
      </c>
      <c r="T11" s="30">
        <f t="shared" si="0"/>
        <v>44.588434790269844</v>
      </c>
      <c r="U11" s="29">
        <f t="shared" si="1"/>
        <v>9.757850231371162E-3</v>
      </c>
      <c r="V11" s="29">
        <f t="shared" si="2"/>
        <v>5.1240794657056403</v>
      </c>
      <c r="W11" s="32" t="str">
        <f t="shared" si="3"/>
        <v>포지션/백·헤드</v>
      </c>
      <c r="X11" s="32" t="str">
        <f t="shared" si="4"/>
        <v>보조 개선 후보</v>
      </c>
      <c r="Y11" s="30">
        <f t="shared" si="6"/>
        <v>2.6</v>
      </c>
      <c r="Z11" s="45" t="str">
        <f>IFERROR(INDEX(계산표!$AV$4:$AV$43,MATCH(R11,계산표!$A$4:$A$43,0)),"")</f>
        <v>주딜기</v>
      </c>
    </row>
    <row r="12" spans="1:26" ht="28.5">
      <c r="A12" s="15" t="s">
        <v>235</v>
      </c>
      <c r="B12" s="15" t="str">
        <f>IF(B10&lt;=B9,"가능","목표 초과")</f>
        <v>가능</v>
      </c>
      <c r="C12" s="15" t="s">
        <v>236</v>
      </c>
      <c r="D12" s="15" t="s">
        <v>237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27">
        <v>7</v>
      </c>
      <c r="R12" s="31" t="str">
        <f>IFERROR(INDEX($B$19:$B$58,MATCH($Q12,$A$19:$A$58,0)),"")</f>
        <v>스킬룬 : 출혈</v>
      </c>
      <c r="S12" s="28">
        <f>IFERROR(INDEX($E$19:$E$58,MATCH($Q12,$A$19:$A$58,0)),"")</f>
        <v>49.037068531116148</v>
      </c>
      <c r="T12" s="30">
        <f t="shared" si="0"/>
        <v>39.696674525189252</v>
      </c>
      <c r="U12" s="29">
        <f t="shared" si="1"/>
        <v>8.6873245612293318E-3</v>
      </c>
      <c r="V12" s="29">
        <f t="shared" si="2"/>
        <v>5.7555119125104452</v>
      </c>
      <c r="W12" s="32" t="str">
        <f t="shared" si="3"/>
        <v>사용횟수/쿨 밀림</v>
      </c>
      <c r="X12" s="32" t="str">
        <f t="shared" si="4"/>
        <v>보조 개선 후보</v>
      </c>
      <c r="Y12" s="30">
        <f t="shared" si="6"/>
        <v>2.6</v>
      </c>
      <c r="Z12" s="45" t="str">
        <f>IFERROR(INDEX(계산표!$AV$4:$AV$43,MATCH(R12,계산표!$A$4:$A$43,0)),"")</f>
        <v>룬/기타</v>
      </c>
    </row>
    <row r="13" spans="1:26" ht="28.5">
      <c r="A13" s="15" t="s">
        <v>238</v>
      </c>
      <c r="B13" s="15" t="str">
        <f>"기본 "&amp;TEXT(설정!$B$9,"0.00")&amp;" + 스킬추가(E열 환산) = 총치피"</f>
        <v>기본 2.60 + 스킬추가(E열 환산) = 총치피</v>
      </c>
      <c r="C13" s="15" t="s">
        <v>239</v>
      </c>
      <c r="D13" s="15" t="s">
        <v>240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27">
        <v>8</v>
      </c>
      <c r="R13" s="31" t="str">
        <f t="shared" si="5"/>
        <v>스킬룬 : 중독</v>
      </c>
      <c r="S13" s="28">
        <f>IFERROR(INDEX($E$19:$E$58,MATCH($Q13,$A$19:$A$58,0)),"")</f>
        <v>47.633363618664418</v>
      </c>
      <c r="T13" s="30">
        <f t="shared" si="0"/>
        <v>38.560341977014048</v>
      </c>
      <c r="U13" s="29">
        <f t="shared" si="1"/>
        <v>8.4386465605262063E-3</v>
      </c>
      <c r="V13" s="29">
        <f t="shared" si="2"/>
        <v>5.9251207692341321</v>
      </c>
      <c r="W13" s="32" t="str">
        <f t="shared" si="3"/>
        <v>사용횟수/쿨 밀림</v>
      </c>
      <c r="X13" s="32" t="str">
        <f t="shared" si="4"/>
        <v>보조 개선 후보</v>
      </c>
      <c r="Y13" s="30">
        <f t="shared" si="6"/>
        <v>2.6</v>
      </c>
      <c r="Z13" s="45" t="str">
        <f>IFERROR(INDEX(계산표!$AV$4:$AV$43,MATCH(R13,계산표!$A$4:$A$43,0)),"")</f>
        <v>룬/기타</v>
      </c>
    </row>
    <row r="14" spans="1:26" ht="28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27">
        <v>9</v>
      </c>
      <c r="R14" s="31" t="str">
        <f>IFERROR(INDEX($B$19:$B$58,MATCH($Q14,$A$19:$A$58,0)),"")</f>
        <v>페이탈 소드</v>
      </c>
      <c r="S14" s="28">
        <f t="shared" si="7"/>
        <v>117.53825584317667</v>
      </c>
      <c r="T14" s="30">
        <f t="shared" si="0"/>
        <v>32.483132073484086</v>
      </c>
      <c r="U14" s="29">
        <f t="shared" si="1"/>
        <v>7.1086939765841566E-3</v>
      </c>
      <c r="V14" s="29">
        <f t="shared" si="2"/>
        <v>7.033640801629474</v>
      </c>
      <c r="W14" s="32" t="str">
        <f t="shared" si="3"/>
        <v>사용횟수/쿨 밀림</v>
      </c>
      <c r="X14" s="32" t="str">
        <f t="shared" si="4"/>
        <v>보조 개선 후보</v>
      </c>
      <c r="Y14" s="30">
        <f t="shared" si="6"/>
        <v>2.6</v>
      </c>
      <c r="Z14" s="45" t="str">
        <f>IFERROR(INDEX(계산표!$AV$4:$AV$43,MATCH(R14,계산표!$A$4:$A$43,0)),"")</f>
        <v>주딜기</v>
      </c>
    </row>
    <row r="15" spans="1:26" ht="28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27">
        <v>10</v>
      </c>
      <c r="R15" s="31" t="str">
        <f t="shared" si="5"/>
        <v>기타</v>
      </c>
      <c r="S15" s="28">
        <f>IFERROR(INDEX($E$19:$E$58,MATCH($Q15,$A$19:$A$58,0)),"")</f>
        <v>34.916966328865648</v>
      </c>
      <c r="T15" s="30">
        <f t="shared" si="0"/>
        <v>28.266115599557899</v>
      </c>
      <c r="U15" s="29">
        <f t="shared" si="1"/>
        <v>6.1858310106749741E-3</v>
      </c>
      <c r="V15" s="29">
        <f t="shared" si="2"/>
        <v>8.082988350912645</v>
      </c>
      <c r="W15" s="32" t="str">
        <f t="shared" si="3"/>
        <v>사용횟수/쿨 밀림</v>
      </c>
      <c r="X15" s="32" t="str">
        <f t="shared" si="4"/>
        <v>보조 개선 후보</v>
      </c>
      <c r="Y15" s="30">
        <f t="shared" si="6"/>
        <v>2.6</v>
      </c>
      <c r="Z15" s="45" t="str">
        <f>IFERROR(INDEX(계산표!$AV$4:$AV$43,MATCH(R15,계산표!$A$4:$A$43,0)),"")</f>
        <v>룬/기타</v>
      </c>
    </row>
    <row r="16" spans="1:2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0">
      <c r="A18" s="3" t="s">
        <v>241</v>
      </c>
      <c r="B18" s="3" t="s">
        <v>8</v>
      </c>
      <c r="C18" s="3" t="s">
        <v>9</v>
      </c>
      <c r="D18" s="3" t="s">
        <v>160</v>
      </c>
      <c r="E18" s="3" t="s">
        <v>214</v>
      </c>
      <c r="F18" s="3" t="s">
        <v>242</v>
      </c>
      <c r="G18" s="3" t="s">
        <v>243</v>
      </c>
      <c r="H18" s="3" t="s">
        <v>244</v>
      </c>
      <c r="I18" s="3" t="s">
        <v>245</v>
      </c>
      <c r="J18" s="3" t="s">
        <v>157</v>
      </c>
      <c r="K18" s="3" t="s">
        <v>206</v>
      </c>
      <c r="L18" s="3" t="s">
        <v>246</v>
      </c>
      <c r="M18" s="3" t="s">
        <v>247</v>
      </c>
      <c r="N18" s="3" t="s">
        <v>248</v>
      </c>
      <c r="O18" s="3" t="s">
        <v>249</v>
      </c>
      <c r="P18" s="3" t="s">
        <v>250</v>
      </c>
      <c r="Q18" s="3" t="s">
        <v>217</v>
      </c>
      <c r="R18" s="3" t="s">
        <v>219</v>
      </c>
      <c r="S18" s="3" t="s">
        <v>220</v>
      </c>
      <c r="T18" s="46" t="s">
        <v>0</v>
      </c>
      <c r="U18" s="15"/>
      <c r="V18" s="15"/>
      <c r="W18" s="15"/>
      <c r="X18" s="15"/>
      <c r="Y18" s="15"/>
      <c r="Z18" s="15"/>
    </row>
    <row r="19" spans="1:26">
      <c r="A19" s="15">
        <f t="shared" ref="A19:A32" si="8">IF(D19=1,1+COUNTIF($G$19:$G$58,"&gt;"&amp;G19),"")</f>
        <v>1</v>
      </c>
      <c r="B19" s="15" t="str">
        <f>계산표!A4</f>
        <v>허리케인 소드</v>
      </c>
      <c r="C19" s="15" t="str">
        <f>계산표!B4</f>
        <v>백어택</v>
      </c>
      <c r="D19" s="15">
        <f>계산표!AW4</f>
        <v>1</v>
      </c>
      <c r="E19" s="22">
        <f>계산표!AL4</f>
        <v>2076.0114875333438</v>
      </c>
      <c r="F19" s="22">
        <f>계산표!AO4</f>
        <v>2700.4392982707782</v>
      </c>
      <c r="G19" s="25">
        <f t="shared" ref="G19:G58" si="9">IF(D19=1,MAX(0,F19-E19),0)</f>
        <v>624.42781073743436</v>
      </c>
      <c r="H19" s="24">
        <f t="shared" ref="H19:H58" si="10">IFERROR(G19/$B$6,0)</f>
        <v>0.1366514228664627</v>
      </c>
      <c r="I19" s="24">
        <f t="shared" ref="I19:I58" si="11">IFERROR(E19/F19,0)</f>
        <v>0.76876806261215136</v>
      </c>
      <c r="J19" s="24">
        <f>계산표!AT4</f>
        <v>0.8587607535663726</v>
      </c>
      <c r="K19" s="24">
        <f>계산표!AU4</f>
        <v>0.79578947368421049</v>
      </c>
      <c r="L19" s="21">
        <f>계산표!L4</f>
        <v>0.76670000000000005</v>
      </c>
      <c r="M19" s="21">
        <f>IF(OR(D19&lt;&gt;1,C19="없음",계산표!AI4=0),0,MAX(0,1-계산표!AG4/계산표!AI4))</f>
        <v>3.3955476876264545E-2</v>
      </c>
      <c r="N19" s="21">
        <f>IFERROR(계산표!AP4-1,0)</f>
        <v>3.5782617347086543E-3</v>
      </c>
      <c r="O19" s="15" t="str">
        <f t="shared" ref="O19:O58" si="12">IF(D19&lt;&gt;1,"제외",IF(K19&lt;0.85,"사용횟수/쿨 밀림",IF(J19&lt;0.85,"쿨타임 소화",IF(AND(C19&lt;&gt;"없음",L19&lt;0.85),"포지션/백·헤드",IF(I19&lt;0.9,"딜각/사이클",IF(H19&gt;0.005,"소폭 보완","유지"))))))</f>
        <v>사용횟수/쿨 밀림</v>
      </c>
      <c r="P19" s="15" t="str">
        <f t="shared" ref="P19:P58" si="13">IF(O19="제외","비교 제외",IF(O19="사용횟수/쿨 밀림","허수 대비 사용횟수 낮음: 주력기 우선순위·패턴 전 딜각 확인",IF(O19="쿨타임 소화","쿨타임이 밀림: 패턴 직후 즉시 사용 가능한 위치/동선 확인",IF(O19="포지션/백·헤드","백/헤드 적중률 낮음: 주력기 사용 전 포지션 고정",IF(O19="딜각/사이클","딜각/사이클 손실: 기믹 전후 주력기 배치 확인","큰 구멍은 아니지만 반복 개선 대상")))))</f>
        <v>허수 대비 사용횟수 낮음: 주력기 우선순위·패턴 전 딜각 확인</v>
      </c>
      <c r="Q19" s="21">
        <f t="shared" ref="Q19:Q58" si="14">IFERROR(IF(G19&gt;0,$B$11/G19,""),"")</f>
        <v>0.36589447040636053</v>
      </c>
      <c r="R19" s="15" t="str">
        <f t="shared" ref="R19:R58" si="15">IF(D19&lt;&gt;1,"제외",IF($B$12="목표 초과","목표 초과",IF(G19&gt;=$B$11,"일부 개선만으로 목표 가능","보조 개선 후보")))</f>
        <v>일부 개선만으로 목표 가능</v>
      </c>
      <c r="S19" s="23">
        <f>계산표!E4</f>
        <v>3.6</v>
      </c>
      <c r="T19" s="46" t="str">
        <f>IFERROR(INDEX(계산표!$AV$4:$AV$43,MATCH(B19,계산표!$A$4:$A$43,0)),"")</f>
        <v>주딜기</v>
      </c>
      <c r="U19" s="15"/>
      <c r="V19" s="15"/>
      <c r="W19" s="15"/>
      <c r="X19" s="15"/>
      <c r="Y19" s="15"/>
      <c r="Z19" s="15"/>
    </row>
    <row r="20" spans="1:26">
      <c r="A20" s="15">
        <f t="shared" si="8"/>
        <v>6</v>
      </c>
      <c r="B20" s="15" t="str">
        <f>계산표!A5</f>
        <v>플레임 블레이드</v>
      </c>
      <c r="C20" s="15" t="str">
        <f>계산표!B5</f>
        <v>백어택</v>
      </c>
      <c r="D20" s="15">
        <f>계산표!AW5</f>
        <v>1</v>
      </c>
      <c r="E20" s="22">
        <f>계산표!AL5</f>
        <v>529.85625193846181</v>
      </c>
      <c r="F20" s="22">
        <f>계산표!AO5</f>
        <v>574.44468672873165</v>
      </c>
      <c r="G20" s="25">
        <f t="shared" si="9"/>
        <v>44.588434790269844</v>
      </c>
      <c r="H20" s="24">
        <f t="shared" si="10"/>
        <v>9.757850231371162E-3</v>
      </c>
      <c r="I20" s="24">
        <f t="shared" si="11"/>
        <v>0.9223799334898789</v>
      </c>
      <c r="J20" s="24">
        <f>계산표!AT5</f>
        <v>1.0357336220898754</v>
      </c>
      <c r="K20" s="24">
        <f>계산표!AU5</f>
        <v>0.96710526315789469</v>
      </c>
      <c r="L20" s="21">
        <f>계산표!L5</f>
        <v>0.57140000000000002</v>
      </c>
      <c r="M20" s="21">
        <f>IF(OR(D20&lt;&gt;1,C20="없음",계산표!AI5=0),0,MAX(0,1-계산표!AG5/계산표!AI5))</f>
        <v>4.6246599384615283E-2</v>
      </c>
      <c r="N20" s="21">
        <f>IFERROR(계산표!AP5-1,0)</f>
        <v>2.7089890907251668E-2</v>
      </c>
      <c r="O20" s="15" t="str">
        <f t="shared" si="12"/>
        <v>포지션/백·헤드</v>
      </c>
      <c r="P20" s="15" t="str">
        <f t="shared" si="13"/>
        <v>백/헤드 적중률 낮음: 주력기 사용 전 포지션 고정</v>
      </c>
      <c r="Q20" s="21">
        <f t="shared" si="14"/>
        <v>5.1240794657056403</v>
      </c>
      <c r="R20" s="15" t="str">
        <f t="shared" si="15"/>
        <v>보조 개선 후보</v>
      </c>
      <c r="S20" s="23">
        <f>계산표!E5</f>
        <v>2.6</v>
      </c>
      <c r="T20" s="46" t="str">
        <f>IFERROR(INDEX(계산표!$AV$4:$AV$43,MATCH(B20,계산표!$A$4:$A$43,0)),"")</f>
        <v>주딜기</v>
      </c>
      <c r="U20" s="15"/>
      <c r="V20" s="15"/>
      <c r="W20" s="15"/>
      <c r="X20" s="15"/>
      <c r="Y20" s="15"/>
      <c r="Z20" s="15"/>
    </row>
    <row r="21" spans="1:26">
      <c r="A21" s="15">
        <f t="shared" si="8"/>
        <v>2</v>
      </c>
      <c r="B21" s="15" t="str">
        <f>계산표!A6</f>
        <v>브루탈 임팩트</v>
      </c>
      <c r="C21" s="15" t="str">
        <f>계산표!B6</f>
        <v>백어택</v>
      </c>
      <c r="D21" s="15">
        <f>계산표!AW6</f>
        <v>1</v>
      </c>
      <c r="E21" s="22">
        <f>계산표!AL6</f>
        <v>533.70900000000006</v>
      </c>
      <c r="F21" s="22">
        <f>계산표!AO6</f>
        <v>674.2579935955647</v>
      </c>
      <c r="G21" s="25">
        <f t="shared" si="9"/>
        <v>140.54899359556464</v>
      </c>
      <c r="H21" s="24">
        <f t="shared" si="10"/>
        <v>3.0758111069078067E-2</v>
      </c>
      <c r="I21" s="24">
        <f t="shared" si="11"/>
        <v>0.79155012631578958</v>
      </c>
      <c r="J21" s="24">
        <f>계산표!AT6</f>
        <v>0.85460540310572219</v>
      </c>
      <c r="K21" s="24">
        <f>계산표!AU6</f>
        <v>0.79824561403508776</v>
      </c>
      <c r="L21" s="21">
        <f>계산표!L6</f>
        <v>0.92300000000000004</v>
      </c>
      <c r="M21" s="21">
        <f>IF(OR(D21&lt;&gt;1,C21="없음",계산표!AI6=0),0,MAX(0,1-계산표!AG6/계산표!AI6))</f>
        <v>8.387753846153867E-3</v>
      </c>
      <c r="N21" s="21">
        <f>IFERROR(계산표!AP6-1,0)</f>
        <v>4.761021455512271E-3</v>
      </c>
      <c r="O21" s="15" t="str">
        <f t="shared" si="12"/>
        <v>사용횟수/쿨 밀림</v>
      </c>
      <c r="P21" s="15" t="str">
        <f t="shared" si="13"/>
        <v>허수 대비 사용횟수 낮음: 주력기 우선순위·패턴 전 딜각 확인</v>
      </c>
      <c r="Q21" s="21">
        <f t="shared" si="14"/>
        <v>1.6255874714707792</v>
      </c>
      <c r="R21" s="15" t="str">
        <f t="shared" si="15"/>
        <v>보조 개선 후보</v>
      </c>
      <c r="S21" s="23">
        <f>계산표!E6</f>
        <v>2.6</v>
      </c>
      <c r="T21" s="46" t="str">
        <f>IFERROR(INDEX(계산표!$AV$4:$AV$43,MATCH(B21,계산표!$A$4:$A$43,0)),"")</f>
        <v>주딜기</v>
      </c>
      <c r="U21" s="15"/>
      <c r="V21" s="15"/>
      <c r="W21" s="15"/>
      <c r="X21" s="15"/>
      <c r="Y21" s="15"/>
      <c r="Z21" s="15"/>
    </row>
    <row r="22" spans="1:26">
      <c r="A22" s="15">
        <f t="shared" si="8"/>
        <v>4</v>
      </c>
      <c r="B22" s="15" t="str">
        <f>계산표!A7</f>
        <v>길로틴</v>
      </c>
      <c r="C22" s="15" t="str">
        <f>계산표!B7</f>
        <v>백어택</v>
      </c>
      <c r="D22" s="15">
        <f>계산표!AW7</f>
        <v>1</v>
      </c>
      <c r="E22" s="22">
        <f>계산표!AL7</f>
        <v>429.67027435187515</v>
      </c>
      <c r="F22" s="22">
        <f>계산표!AO7</f>
        <v>513.74624563479892</v>
      </c>
      <c r="G22" s="25">
        <f t="shared" si="9"/>
        <v>84.075971282923774</v>
      </c>
      <c r="H22" s="24">
        <f t="shared" si="10"/>
        <v>1.8399406476023287E-2</v>
      </c>
      <c r="I22" s="24">
        <f t="shared" si="11"/>
        <v>0.83634727845254186</v>
      </c>
      <c r="J22" s="24">
        <f>계산표!AT7</f>
        <v>0.90757508833922262</v>
      </c>
      <c r="K22" s="24">
        <f>계산표!AU7</f>
        <v>0.85964912280701755</v>
      </c>
      <c r="L22" s="21">
        <f>계산표!L7</f>
        <v>0.75</v>
      </c>
      <c r="M22" s="21">
        <f>IF(OR(D22&lt;&gt;1,C22="없음",계산표!AI7=0),0,MAX(0,1-계산표!AG7/계산표!AI7))</f>
        <v>2.7106227106226788E-2</v>
      </c>
      <c r="N22" s="21">
        <f>IFERROR(계산표!AP7-1,0)</f>
        <v>-6.7500000000000338E-3</v>
      </c>
      <c r="O22" s="15" t="str">
        <f t="shared" si="12"/>
        <v>포지션/백·헤드</v>
      </c>
      <c r="P22" s="15" t="str">
        <f t="shared" si="13"/>
        <v>백/헤드 적중률 낮음: 주력기 사용 전 포지션 고정</v>
      </c>
      <c r="Q22" s="21">
        <f t="shared" si="14"/>
        <v>2.717478961354336</v>
      </c>
      <c r="R22" s="15" t="str">
        <f t="shared" si="15"/>
        <v>보조 개선 후보</v>
      </c>
      <c r="S22" s="23">
        <f>계산표!E7</f>
        <v>2.6</v>
      </c>
      <c r="T22" s="46" t="str">
        <f>IFERROR(INDEX(계산표!$AV$4:$AV$43,MATCH(B22,계산표!$A$4:$A$43,0)),"")</f>
        <v>주딜기</v>
      </c>
      <c r="U22" s="15"/>
      <c r="V22" s="15"/>
      <c r="W22" s="15"/>
      <c r="X22" s="15"/>
      <c r="Y22" s="15"/>
      <c r="Z22" s="15"/>
    </row>
    <row r="23" spans="1:26">
      <c r="A23" s="15">
        <f t="shared" si="8"/>
        <v>3</v>
      </c>
      <c r="B23" s="15" t="str">
        <f>계산표!A8</f>
        <v>볼케이노 이럽션</v>
      </c>
      <c r="C23" s="15" t="str">
        <f>계산표!B8</f>
        <v>백어택</v>
      </c>
      <c r="D23" s="15">
        <f>계산표!AW8</f>
        <v>1</v>
      </c>
      <c r="E23" s="22">
        <f>계산표!AL8</f>
        <v>399.39141955835964</v>
      </c>
      <c r="F23" s="22">
        <f>계산표!AO8</f>
        <v>513.70780985029455</v>
      </c>
      <c r="G23" s="25">
        <f t="shared" si="9"/>
        <v>114.31639029193491</v>
      </c>
      <c r="H23" s="24">
        <f t="shared" si="10"/>
        <v>2.5017299232560086E-2</v>
      </c>
      <c r="I23" s="24">
        <f t="shared" si="11"/>
        <v>0.77746807017543851</v>
      </c>
      <c r="J23" s="24">
        <f>계산표!AT8</f>
        <v>0.85424049137727376</v>
      </c>
      <c r="K23" s="24">
        <f>계산표!AU8</f>
        <v>0.79824561403508776</v>
      </c>
      <c r="L23" s="21">
        <f>계산표!L8</f>
        <v>0.76</v>
      </c>
      <c r="M23" s="21">
        <f>IF(OR(D23&lt;&gt;1,C23="없음",계산표!AI8=0),0,MAX(0,1-계산표!AG8/계산표!AI8))</f>
        <v>2.6029010989011003E-2</v>
      </c>
      <c r="N23" s="21">
        <f>IFERROR(계산표!AP8-1,0)</f>
        <v>-9.9937539038101875E-3</v>
      </c>
      <c r="O23" s="15" t="str">
        <f t="shared" si="12"/>
        <v>사용횟수/쿨 밀림</v>
      </c>
      <c r="P23" s="15" t="str">
        <f t="shared" si="13"/>
        <v>허수 대비 사용횟수 낮음: 주력기 우선순위·패턴 전 딜각 확인</v>
      </c>
      <c r="Q23" s="21">
        <f t="shared" si="14"/>
        <v>1.9986170183760228</v>
      </c>
      <c r="R23" s="15" t="str">
        <f t="shared" si="15"/>
        <v>보조 개선 후보</v>
      </c>
      <c r="S23" s="23">
        <f>계산표!E8</f>
        <v>2.6</v>
      </c>
      <c r="T23" s="46" t="str">
        <f>IFERROR(INDEX(계산표!$AV$4:$AV$43,MATCH(B23,계산표!$A$4:$A$43,0)),"")</f>
        <v>주딜기</v>
      </c>
      <c r="U23" s="15"/>
      <c r="V23" s="15"/>
      <c r="W23" s="15"/>
      <c r="X23" s="15"/>
      <c r="Y23" s="15"/>
      <c r="Z23" s="15"/>
    </row>
    <row r="24" spans="1:26">
      <c r="A24" s="15">
        <f t="shared" si="8"/>
        <v>5</v>
      </c>
      <c r="B24" s="15" t="str">
        <f>계산표!A9</f>
        <v>파이널 블로</v>
      </c>
      <c r="C24" s="15" t="str">
        <f>계산표!B9</f>
        <v>백어택</v>
      </c>
      <c r="D24" s="15">
        <f>계산표!AW9</f>
        <v>1</v>
      </c>
      <c r="E24" s="22">
        <f>계산표!AL9</f>
        <v>250.09221814500827</v>
      </c>
      <c r="F24" s="22">
        <f>계산표!AO9</f>
        <v>309.62264393824967</v>
      </c>
      <c r="G24" s="25">
        <f t="shared" si="9"/>
        <v>59.530425793241392</v>
      </c>
      <c r="H24" s="24">
        <f t="shared" si="10"/>
        <v>1.3027794804471736E-2</v>
      </c>
      <c r="I24" s="24">
        <f t="shared" si="11"/>
        <v>0.80773232527168137</v>
      </c>
      <c r="J24" s="24">
        <f>계산표!AT9</f>
        <v>0.85394329282821058</v>
      </c>
      <c r="K24" s="24">
        <f>계산표!AU9</f>
        <v>0.84349030470914133</v>
      </c>
      <c r="L24" s="21">
        <f>계산표!L9</f>
        <v>0.60750000000000004</v>
      </c>
      <c r="M24" s="21">
        <f>IF(OR(D24&lt;&gt;1,C24="없음",계산표!AI9=0),0,MAX(0,1-계산표!AG9/계산표!AI9))</f>
        <v>4.239287545787529E-2</v>
      </c>
      <c r="N24" s="21">
        <f>IFERROR(계산표!AP9-1,0)</f>
        <v>-3.2476746019235447E-3</v>
      </c>
      <c r="O24" s="15" t="str">
        <f t="shared" si="12"/>
        <v>사용횟수/쿨 밀림</v>
      </c>
      <c r="P24" s="15" t="str">
        <f t="shared" si="13"/>
        <v>허수 대비 사용횟수 낮음: 주력기 우선순위·패턴 전 딜각 확인</v>
      </c>
      <c r="Q24" s="21">
        <f t="shared" si="14"/>
        <v>3.8379480756664748</v>
      </c>
      <c r="R24" s="15" t="str">
        <f t="shared" si="15"/>
        <v>보조 개선 후보</v>
      </c>
      <c r="S24" s="23">
        <f>계산표!E9</f>
        <v>2.6</v>
      </c>
      <c r="T24" s="46" t="str">
        <f>IFERROR(INDEX(계산표!$AV$4:$AV$43,MATCH(B24,계산표!$A$4:$A$43,0)),"")</f>
        <v>주딜기</v>
      </c>
      <c r="U24" s="15"/>
      <c r="V24" s="15"/>
      <c r="W24" s="15"/>
      <c r="X24" s="15"/>
      <c r="Y24" s="15"/>
      <c r="Z24" s="15"/>
    </row>
    <row r="25" spans="1:26">
      <c r="A25" s="15">
        <f t="shared" si="8"/>
        <v>9</v>
      </c>
      <c r="B25" s="15" t="str">
        <f>계산표!A10</f>
        <v>페이탈 소드</v>
      </c>
      <c r="C25" s="15" t="str">
        <f>계산표!B10</f>
        <v>백어택</v>
      </c>
      <c r="D25" s="15">
        <f>계산표!AW10</f>
        <v>1</v>
      </c>
      <c r="E25" s="22">
        <f>계산표!AL10</f>
        <v>117.53825584317667</v>
      </c>
      <c r="F25" s="22">
        <f>계산표!AO10</f>
        <v>150.02138791666076</v>
      </c>
      <c r="G25" s="25">
        <f t="shared" si="9"/>
        <v>32.483132073484086</v>
      </c>
      <c r="H25" s="24">
        <f t="shared" si="10"/>
        <v>7.1086939765841566E-3</v>
      </c>
      <c r="I25" s="24">
        <f t="shared" si="11"/>
        <v>0.78347665939786548</v>
      </c>
      <c r="J25" s="24">
        <f>계산표!AT10</f>
        <v>0.84117287721441658</v>
      </c>
      <c r="K25" s="24">
        <f>계산표!AU10</f>
        <v>0.80382775119617211</v>
      </c>
      <c r="L25" s="21">
        <f>계산표!L10</f>
        <v>0.76659999999999995</v>
      </c>
      <c r="M25" s="21">
        <f>IF(OR(D25&lt;&gt;1,C25="없음",계산표!AI10=0),0,MAX(0,1-계산표!AG10/계산표!AI10))</f>
        <v>2.5317727296703119E-2</v>
      </c>
      <c r="N25" s="21">
        <f>IFERROR(계산표!AP10-1,0)</f>
        <v>-6.2809834796397901E-3</v>
      </c>
      <c r="O25" s="15" t="str">
        <f t="shared" si="12"/>
        <v>사용횟수/쿨 밀림</v>
      </c>
      <c r="P25" s="15" t="str">
        <f t="shared" si="13"/>
        <v>허수 대비 사용횟수 낮음: 주력기 우선순위·패턴 전 딜각 확인</v>
      </c>
      <c r="Q25" s="21">
        <f t="shared" si="14"/>
        <v>7.033640801629474</v>
      </c>
      <c r="R25" s="15" t="str">
        <f t="shared" si="15"/>
        <v>보조 개선 후보</v>
      </c>
      <c r="S25" s="23">
        <f>계산표!E10</f>
        <v>2.6</v>
      </c>
      <c r="T25" s="46" t="str">
        <f>IFERROR(INDEX(계산표!$AV$4:$AV$43,MATCH(B25,계산표!$A$4:$A$43,0)),"")</f>
        <v>주딜기</v>
      </c>
      <c r="U25" s="15"/>
      <c r="V25" s="15"/>
      <c r="W25" s="15"/>
      <c r="X25" s="15"/>
      <c r="Y25" s="15"/>
      <c r="Z25" s="15"/>
    </row>
    <row r="26" spans="1:26">
      <c r="A26" s="15">
        <f t="shared" si="8"/>
        <v>7</v>
      </c>
      <c r="B26" s="15" t="str">
        <f>계산표!A11</f>
        <v>스킬룬 : 출혈</v>
      </c>
      <c r="C26" s="15" t="str">
        <f>계산표!B11</f>
        <v>없음</v>
      </c>
      <c r="D26" s="15">
        <f>계산표!AW11</f>
        <v>1</v>
      </c>
      <c r="E26" s="22">
        <f>계산표!AL11</f>
        <v>49.037068531116148</v>
      </c>
      <c r="F26" s="22">
        <f>계산표!AO11</f>
        <v>88.7337430563054</v>
      </c>
      <c r="G26" s="25">
        <f t="shared" si="9"/>
        <v>39.696674525189252</v>
      </c>
      <c r="H26" s="24">
        <f t="shared" si="10"/>
        <v>8.6873245612293318E-3</v>
      </c>
      <c r="I26" s="24">
        <f t="shared" si="11"/>
        <v>0.55263157894736847</v>
      </c>
      <c r="J26" s="24">
        <f>계산표!AT11</f>
        <v>0</v>
      </c>
      <c r="K26" s="24">
        <f>계산표!AU11</f>
        <v>0.55263157894736847</v>
      </c>
      <c r="L26" s="21">
        <f>계산표!L11</f>
        <v>0</v>
      </c>
      <c r="M26" s="21">
        <f>IF(OR(D26&lt;&gt;1,C26="없음",계산표!AI11=0),0,MAX(0,1-계산표!AG11/계산표!AI11))</f>
        <v>0</v>
      </c>
      <c r="N26" s="21">
        <f>IFERROR(계산표!AP11-1,0)</f>
        <v>4.1049180327868751E-2</v>
      </c>
      <c r="O26" s="15" t="str">
        <f t="shared" si="12"/>
        <v>사용횟수/쿨 밀림</v>
      </c>
      <c r="P26" s="15" t="str">
        <f t="shared" si="13"/>
        <v>허수 대비 사용횟수 낮음: 주력기 우선순위·패턴 전 딜각 확인</v>
      </c>
      <c r="Q26" s="21">
        <f t="shared" si="14"/>
        <v>5.7555119125104452</v>
      </c>
      <c r="R26" s="15" t="str">
        <f t="shared" si="15"/>
        <v>보조 개선 후보</v>
      </c>
      <c r="S26" s="23">
        <f>계산표!E11</f>
        <v>2.6</v>
      </c>
      <c r="T26" s="46" t="str">
        <f>IFERROR(INDEX(계산표!$AV$4:$AV$43,MATCH(B26,계산표!$A$4:$A$43,0)),"")</f>
        <v>룬/기타</v>
      </c>
      <c r="U26" s="15"/>
      <c r="V26" s="15"/>
      <c r="W26" s="15"/>
      <c r="X26" s="15"/>
      <c r="Y26" s="15"/>
      <c r="Z26" s="15"/>
    </row>
    <row r="27" spans="1:26">
      <c r="A27" s="15">
        <f t="shared" si="8"/>
        <v>8</v>
      </c>
      <c r="B27" s="15" t="str">
        <f>계산표!A12</f>
        <v>스킬룬 : 중독</v>
      </c>
      <c r="C27" s="15" t="str">
        <f>계산표!B12</f>
        <v>없음</v>
      </c>
      <c r="D27" s="15">
        <f>계산표!AW12</f>
        <v>1</v>
      </c>
      <c r="E27" s="22">
        <f>계산표!AL12</f>
        <v>47.633363618664418</v>
      </c>
      <c r="F27" s="22">
        <f>계산표!AO12</f>
        <v>86.193705595678466</v>
      </c>
      <c r="G27" s="25">
        <f t="shared" si="9"/>
        <v>38.560341977014048</v>
      </c>
      <c r="H27" s="24">
        <f t="shared" si="10"/>
        <v>8.4386465605262063E-3</v>
      </c>
      <c r="I27" s="24">
        <f t="shared" si="11"/>
        <v>0.55263157894736847</v>
      </c>
      <c r="J27" s="24">
        <f>계산표!AT12</f>
        <v>0</v>
      </c>
      <c r="K27" s="24">
        <f>계산표!AU12</f>
        <v>0.55263157894736847</v>
      </c>
      <c r="L27" s="21">
        <f>계산표!L12</f>
        <v>0</v>
      </c>
      <c r="M27" s="21">
        <f>IF(OR(D27&lt;&gt;1,C27="없음",계산표!AI12=0),0,MAX(0,1-계산표!AG12/계산표!AI12))</f>
        <v>0</v>
      </c>
      <c r="N27" s="21">
        <f>IFERROR(계산표!AP12-1,0)</f>
        <v>1.0426229508196716E-2</v>
      </c>
      <c r="O27" s="15" t="str">
        <f t="shared" si="12"/>
        <v>사용횟수/쿨 밀림</v>
      </c>
      <c r="P27" s="15" t="str">
        <f t="shared" si="13"/>
        <v>허수 대비 사용횟수 낮음: 주력기 우선순위·패턴 전 딜각 확인</v>
      </c>
      <c r="Q27" s="21">
        <f t="shared" si="14"/>
        <v>5.9251207692341321</v>
      </c>
      <c r="R27" s="15" t="str">
        <f t="shared" si="15"/>
        <v>보조 개선 후보</v>
      </c>
      <c r="S27" s="23">
        <f>계산표!E12</f>
        <v>2.6</v>
      </c>
      <c r="T27" s="46" t="str">
        <f>IFERROR(INDEX(계산표!$AV$4:$AV$43,MATCH(B27,계산표!$A$4:$A$43,0)),"")</f>
        <v>룬/기타</v>
      </c>
      <c r="U27" s="15"/>
      <c r="V27" s="15"/>
      <c r="W27" s="15"/>
      <c r="X27" s="15"/>
      <c r="Y27" s="15"/>
      <c r="Z27" s="15"/>
    </row>
    <row r="28" spans="1:26">
      <c r="A28" s="15">
        <f t="shared" si="8"/>
        <v>13</v>
      </c>
      <c r="B28" s="15" t="str">
        <f>계산표!A13</f>
        <v>와일드 스톰프</v>
      </c>
      <c r="C28" s="15" t="str">
        <f>계산표!B13</f>
        <v>없음</v>
      </c>
      <c r="D28" s="15">
        <f>계산표!AW13</f>
        <v>1</v>
      </c>
      <c r="E28" s="22">
        <f>계산표!AL13</f>
        <v>42.658162938273193</v>
      </c>
      <c r="F28" s="22">
        <f>계산표!AO13</f>
        <v>45.522874735104722</v>
      </c>
      <c r="G28" s="25">
        <f t="shared" si="9"/>
        <v>2.8647117968315285</v>
      </c>
      <c r="H28" s="24">
        <f t="shared" si="10"/>
        <v>6.2692105701867495E-4</v>
      </c>
      <c r="I28" s="24">
        <f t="shared" si="11"/>
        <v>0.93707093821510312</v>
      </c>
      <c r="J28" s="24">
        <f>계산표!AT13</f>
        <v>0.95474785129957551</v>
      </c>
      <c r="K28" s="24">
        <f>계산표!AU13</f>
        <v>0.93707093821510301</v>
      </c>
      <c r="L28" s="21">
        <f>계산표!L13</f>
        <v>0</v>
      </c>
      <c r="M28" s="21">
        <f>IF(OR(D28&lt;&gt;1,C28="없음",계산표!AI13=0),0,MAX(0,1-계산표!AG13/계산표!AI13))</f>
        <v>0</v>
      </c>
      <c r="N28" s="21">
        <f>IFERROR(계산표!AP13-1,0)</f>
        <v>2.3016393442622851E-2</v>
      </c>
      <c r="O28" s="15" t="str">
        <f t="shared" si="12"/>
        <v>유지</v>
      </c>
      <c r="P28" s="15" t="str">
        <f t="shared" si="13"/>
        <v>큰 구멍은 아니지만 반복 개선 대상</v>
      </c>
      <c r="Q28" s="21">
        <f t="shared" si="14"/>
        <v>79.754858191835453</v>
      </c>
      <c r="R28" s="15" t="str">
        <f t="shared" si="15"/>
        <v>보조 개선 후보</v>
      </c>
      <c r="S28" s="23">
        <f>계산표!E13</f>
        <v>2.6</v>
      </c>
      <c r="T28" s="46" t="str">
        <f>IFERROR(INDEX(계산표!$AV$4:$AV$43,MATCH(B28,계산표!$A$4:$A$43,0)),"")</f>
        <v>보조딜</v>
      </c>
      <c r="U28" s="15"/>
      <c r="V28" s="15"/>
      <c r="W28" s="15"/>
      <c r="X28" s="15"/>
      <c r="Y28" s="15"/>
      <c r="Z28" s="15"/>
    </row>
    <row r="29" spans="1:26">
      <c r="A29" s="15" t="str">
        <f t="shared" si="8"/>
        <v/>
      </c>
      <c r="B29" s="15" t="str">
        <f>계산표!A14</f>
        <v>라그나 브레이크</v>
      </c>
      <c r="C29" s="15" t="str">
        <f>계산표!B14</f>
        <v>없음</v>
      </c>
      <c r="D29" s="15">
        <f>계산표!AW14</f>
        <v>0</v>
      </c>
      <c r="E29" s="22">
        <f>계산표!AL14</f>
        <v>40.682307692307695</v>
      </c>
      <c r="F29" s="22">
        <f>계산표!AO14</f>
        <v>0</v>
      </c>
      <c r="G29" s="25">
        <f t="shared" si="9"/>
        <v>0</v>
      </c>
      <c r="H29" s="24">
        <f t="shared" si="10"/>
        <v>0</v>
      </c>
      <c r="I29" s="24">
        <f t="shared" si="11"/>
        <v>0</v>
      </c>
      <c r="J29" s="24" t="str">
        <f>계산표!AT14</f>
        <v/>
      </c>
      <c r="K29" s="24" t="str">
        <f>계산표!AU14</f>
        <v/>
      </c>
      <c r="L29" s="21">
        <f>계산표!L14</f>
        <v>0</v>
      </c>
      <c r="M29" s="21">
        <f>IF(OR(D29&lt;&gt;1,C29="없음",계산표!AI14=0),0,MAX(0,1-계산표!AG14/계산표!AI14))</f>
        <v>0</v>
      </c>
      <c r="N29" s="21">
        <f>IFERROR(계산표!AP14-1,0)</f>
        <v>0</v>
      </c>
      <c r="O29" s="15" t="str">
        <f t="shared" si="12"/>
        <v>제외</v>
      </c>
      <c r="P29" s="15" t="str">
        <f t="shared" si="13"/>
        <v>비교 제외</v>
      </c>
      <c r="Q29" s="21" t="str">
        <f t="shared" si="14"/>
        <v/>
      </c>
      <c r="R29" s="15" t="str">
        <f t="shared" si="15"/>
        <v>제외</v>
      </c>
      <c r="S29" s="23">
        <f>계산표!E14</f>
        <v>2.6</v>
      </c>
      <c r="T29" s="46" t="str">
        <f>IFERROR(INDEX(계산표!$AV$4:$AV$43,MATCH(B29,계산표!$A$4:$A$43,0)),"")</f>
        <v>주딜기</v>
      </c>
      <c r="U29" s="15"/>
      <c r="V29" s="15"/>
      <c r="W29" s="15"/>
      <c r="X29" s="15"/>
      <c r="Y29" s="15"/>
      <c r="Z29" s="15"/>
    </row>
    <row r="30" spans="1:26">
      <c r="A30" s="15">
        <f t="shared" si="8"/>
        <v>10</v>
      </c>
      <c r="B30" s="15" t="str">
        <f>계산표!A15</f>
        <v>기타</v>
      </c>
      <c r="C30" s="15" t="str">
        <f>계산표!B15</f>
        <v>없음</v>
      </c>
      <c r="D30" s="15">
        <f>계산표!AW15</f>
        <v>1</v>
      </c>
      <c r="E30" s="22">
        <f>계산표!AL15</f>
        <v>34.916966328865648</v>
      </c>
      <c r="F30" s="22">
        <f>계산표!AO15</f>
        <v>63.183081928423547</v>
      </c>
      <c r="G30" s="25">
        <f t="shared" si="9"/>
        <v>28.266115599557899</v>
      </c>
      <c r="H30" s="24">
        <f t="shared" si="10"/>
        <v>6.1858310106749741E-3</v>
      </c>
      <c r="I30" s="24">
        <f t="shared" si="11"/>
        <v>0.55263157894736847</v>
      </c>
      <c r="J30" s="24">
        <f>계산표!AT15</f>
        <v>0</v>
      </c>
      <c r="K30" s="24">
        <f>계산표!AU15</f>
        <v>0.55263157894736847</v>
      </c>
      <c r="L30" s="21">
        <f>계산표!L15</f>
        <v>0</v>
      </c>
      <c r="M30" s="21">
        <f>IF(OR(D30&lt;&gt;1,C30="없음",계산표!AI15=0),0,MAX(0,1-계산표!AG15/계산표!AI15))</f>
        <v>0</v>
      </c>
      <c r="N30" s="21">
        <f>IFERROR(계산표!AP15-1,0)</f>
        <v>2.9508196721310664E-3</v>
      </c>
      <c r="O30" s="15" t="str">
        <f t="shared" si="12"/>
        <v>사용횟수/쿨 밀림</v>
      </c>
      <c r="P30" s="15" t="str">
        <f t="shared" si="13"/>
        <v>허수 대비 사용횟수 낮음: 주력기 우선순위·패턴 전 딜각 확인</v>
      </c>
      <c r="Q30" s="21">
        <f t="shared" si="14"/>
        <v>8.082988350912645</v>
      </c>
      <c r="R30" s="15" t="str">
        <f t="shared" si="15"/>
        <v>보조 개선 후보</v>
      </c>
      <c r="S30" s="23">
        <f>계산표!E15</f>
        <v>2.6</v>
      </c>
      <c r="T30" s="46" t="str">
        <f>IFERROR(INDEX(계산표!$AV$4:$AV$43,MATCH(B30,계산표!$A$4:$A$43,0)),"")</f>
        <v>룬/기타</v>
      </c>
      <c r="U30" s="15"/>
      <c r="V30" s="15"/>
      <c r="W30" s="15"/>
      <c r="X30" s="15"/>
      <c r="Y30" s="15"/>
      <c r="Z30" s="15"/>
    </row>
    <row r="31" spans="1:26">
      <c r="A31" s="15">
        <f t="shared" si="8"/>
        <v>12</v>
      </c>
      <c r="B31" s="15" t="str">
        <f>계산표!A16</f>
        <v>와일드 러시</v>
      </c>
      <c r="C31" s="15" t="str">
        <f>계산표!B16</f>
        <v>없음</v>
      </c>
      <c r="D31" s="15">
        <f>계산표!AW16</f>
        <v>1</v>
      </c>
      <c r="E31" s="22">
        <f>계산표!AL16</f>
        <v>31.76919354838709</v>
      </c>
      <c r="F31" s="22">
        <f>계산표!AO16</f>
        <v>37.088459442049448</v>
      </c>
      <c r="G31" s="25">
        <f t="shared" si="9"/>
        <v>5.319265893662358</v>
      </c>
      <c r="H31" s="24">
        <f t="shared" si="10"/>
        <v>1.1640821252268912E-3</v>
      </c>
      <c r="I31" s="24">
        <f t="shared" si="11"/>
        <v>0.856578947368421</v>
      </c>
      <c r="J31" s="24">
        <f>계산표!AT16</f>
        <v>0.88021966635581816</v>
      </c>
      <c r="K31" s="24">
        <f>계산표!AU16</f>
        <v>0.85657894736842111</v>
      </c>
      <c r="L31" s="21">
        <f>계산표!L16</f>
        <v>0</v>
      </c>
      <c r="M31" s="21">
        <f>IF(OR(D31&lt;&gt;1,C31="없음",계산표!AI16=0),0,MAX(0,1-계산표!AG16/계산표!AI16))</f>
        <v>0</v>
      </c>
      <c r="N31" s="21">
        <f>IFERROR(계산표!AP16-1,0)</f>
        <v>1.639344262295106E-2</v>
      </c>
      <c r="O31" s="15" t="str">
        <f t="shared" si="12"/>
        <v>딜각/사이클</v>
      </c>
      <c r="P31" s="15" t="str">
        <f t="shared" si="13"/>
        <v>딜각/사이클 손실: 기믹 전후 주력기 배치 확인</v>
      </c>
      <c r="Q31" s="21">
        <f t="shared" si="14"/>
        <v>42.952295990503679</v>
      </c>
      <c r="R31" s="15" t="str">
        <f t="shared" si="15"/>
        <v>보조 개선 후보</v>
      </c>
      <c r="S31" s="23">
        <f>계산표!E16</f>
        <v>2.6</v>
      </c>
      <c r="T31" s="46" t="str">
        <f>IFERROR(INDEX(계산표!$AV$4:$AV$43,MATCH(B31,계산표!$A$4:$A$43,0)),"")</f>
        <v>이동/카운터</v>
      </c>
      <c r="U31" s="15"/>
      <c r="V31" s="15"/>
      <c r="W31" s="15"/>
      <c r="X31" s="15"/>
      <c r="Y31" s="15"/>
      <c r="Z31" s="15"/>
    </row>
    <row r="32" spans="1:26">
      <c r="A32" s="15">
        <f t="shared" si="8"/>
        <v>11</v>
      </c>
      <c r="B32" s="15" t="str">
        <f>계산표!A17</f>
        <v>맥스웰 맥시마</v>
      </c>
      <c r="C32" s="15" t="str">
        <f>계산표!B17</f>
        <v>없음</v>
      </c>
      <c r="D32" s="15">
        <f>계산표!AW17</f>
        <v>1</v>
      </c>
      <c r="E32" s="22">
        <f>계산표!AL17</f>
        <v>27.21</v>
      </c>
      <c r="F32" s="22">
        <f>계산표!AO17</f>
        <v>49.237142857142857</v>
      </c>
      <c r="G32" s="25">
        <f t="shared" si="9"/>
        <v>22.027142857142856</v>
      </c>
      <c r="H32" s="24">
        <f t="shared" si="10"/>
        <v>4.8204778220185714E-3</v>
      </c>
      <c r="I32" s="24">
        <f t="shared" si="11"/>
        <v>0.55263157894736847</v>
      </c>
      <c r="J32" s="24">
        <f>계산표!AT17</f>
        <v>0</v>
      </c>
      <c r="K32" s="24">
        <f>계산표!AU17</f>
        <v>0.55263157894736847</v>
      </c>
      <c r="L32" s="21">
        <f>계산표!L17</f>
        <v>0</v>
      </c>
      <c r="M32" s="21">
        <f>IF(OR(D32&lt;&gt;1,C32="없음",계산표!AI17=0),0,MAX(0,1-계산표!AG17/계산표!AI17))</f>
        <v>0</v>
      </c>
      <c r="N32" s="21">
        <f>IFERROR(계산표!AP17-1,0)</f>
        <v>0</v>
      </c>
      <c r="O32" s="15" t="str">
        <f t="shared" si="12"/>
        <v>사용횟수/쿨 밀림</v>
      </c>
      <c r="P32" s="15" t="str">
        <f t="shared" si="13"/>
        <v>허수 대비 사용횟수 낮음: 주력기 우선순위·패턴 전 딜각 확인</v>
      </c>
      <c r="Q32" s="21">
        <f t="shared" si="14"/>
        <v>10.372415732650865</v>
      </c>
      <c r="R32" s="15" t="str">
        <f t="shared" si="15"/>
        <v>보조 개선 후보</v>
      </c>
      <c r="S32" s="23">
        <f>계산표!E17</f>
        <v>2.6</v>
      </c>
      <c r="T32" s="46" t="str">
        <f>IFERROR(INDEX(계산표!$AV$4:$AV$43,MATCH(B32,계산표!$A$4:$A$43,0)),"")</f>
        <v>보조딜</v>
      </c>
      <c r="U32" s="15"/>
      <c r="V32" s="15"/>
      <c r="W32" s="15"/>
      <c r="X32" s="15"/>
      <c r="Y32" s="15"/>
      <c r="Z32" s="15"/>
    </row>
    <row r="33" spans="1:26">
      <c r="A33" s="15" t="str">
        <f t="shared" ref="A33:A58" si="16">IF(D33=1,1+COUNTIF($G$19:$G$58,"&gt;"&amp;G33),"")</f>
        <v/>
      </c>
      <c r="B33" s="15" t="str">
        <f>계산표!A18</f>
        <v>기본 공격</v>
      </c>
      <c r="C33" s="15" t="str">
        <f>계산표!B18</f>
        <v>없음</v>
      </c>
      <c r="D33" s="15">
        <f>계산표!AW18</f>
        <v>0</v>
      </c>
      <c r="E33" s="22">
        <f>계산표!AL18</f>
        <v>0</v>
      </c>
      <c r="F33" s="22">
        <f>계산표!AO18</f>
        <v>0</v>
      </c>
      <c r="G33" s="25">
        <f t="shared" si="9"/>
        <v>0</v>
      </c>
      <c r="H33" s="24">
        <f t="shared" si="10"/>
        <v>0</v>
      </c>
      <c r="I33" s="24">
        <f t="shared" si="11"/>
        <v>0</v>
      </c>
      <c r="J33" s="24" t="str">
        <f>계산표!AT18</f>
        <v/>
      </c>
      <c r="K33" s="24" t="str">
        <f>계산표!AU18</f>
        <v/>
      </c>
      <c r="L33" s="21">
        <f>계산표!L18</f>
        <v>0</v>
      </c>
      <c r="M33" s="21">
        <f>IF(OR(D33&lt;&gt;1,C33="없음",계산표!AI18=0),0,MAX(0,1-계산표!AG18/계산표!AI18))</f>
        <v>0</v>
      </c>
      <c r="N33" s="21">
        <f>IFERROR(계산표!AP18-1,0)</f>
        <v>0</v>
      </c>
      <c r="O33" s="15" t="str">
        <f t="shared" si="12"/>
        <v>제외</v>
      </c>
      <c r="P33" s="15" t="str">
        <f t="shared" si="13"/>
        <v>비교 제외</v>
      </c>
      <c r="Q33" s="21" t="str">
        <f t="shared" si="14"/>
        <v/>
      </c>
      <c r="R33" s="15" t="str">
        <f t="shared" si="15"/>
        <v>제외</v>
      </c>
      <c r="S33" s="23">
        <f>계산표!E18</f>
        <v>2.6</v>
      </c>
      <c r="T33" s="46" t="str">
        <f>IFERROR(INDEX(계산표!$AV$4:$AV$43,MATCH(B33,계산표!$A$4:$A$43,0)),"")</f>
        <v>보조딜</v>
      </c>
      <c r="U33" s="15"/>
      <c r="V33" s="15"/>
      <c r="W33" s="15"/>
      <c r="X33" s="15"/>
      <c r="Y33" s="15"/>
      <c r="Z33" s="15"/>
    </row>
    <row r="34" spans="1:26">
      <c r="A34" s="15" t="str">
        <f t="shared" si="16"/>
        <v/>
      </c>
      <c r="B34" s="15">
        <f>계산표!A19</f>
        <v>0</v>
      </c>
      <c r="C34" s="15">
        <f>계산표!B19</f>
        <v>0</v>
      </c>
      <c r="D34" s="15">
        <f>계산표!AW19</f>
        <v>0</v>
      </c>
      <c r="E34" s="22">
        <f>계산표!AL19</f>
        <v>0</v>
      </c>
      <c r="F34" s="22">
        <f>계산표!AO19</f>
        <v>0</v>
      </c>
      <c r="G34" s="25">
        <f t="shared" si="9"/>
        <v>0</v>
      </c>
      <c r="H34" s="24">
        <f t="shared" si="10"/>
        <v>0</v>
      </c>
      <c r="I34" s="24">
        <f t="shared" si="11"/>
        <v>0</v>
      </c>
      <c r="J34" s="24" t="str">
        <f>계산표!AT19</f>
        <v/>
      </c>
      <c r="K34" s="24" t="str">
        <f>계산표!AU19</f>
        <v/>
      </c>
      <c r="L34" s="21">
        <f>계산표!L19</f>
        <v>0</v>
      </c>
      <c r="M34" s="21">
        <f>IF(OR(D34&lt;&gt;1,C34="없음",계산표!AI19=0),0,MAX(0,1-계산표!AG19/계산표!AI19))</f>
        <v>0</v>
      </c>
      <c r="N34" s="21">
        <f>IFERROR(계산표!AP19-1,0)</f>
        <v>0</v>
      </c>
      <c r="O34" s="15" t="str">
        <f t="shared" si="12"/>
        <v>제외</v>
      </c>
      <c r="P34" s="15" t="str">
        <f t="shared" si="13"/>
        <v>비교 제외</v>
      </c>
      <c r="Q34" s="21" t="str">
        <f t="shared" si="14"/>
        <v/>
      </c>
      <c r="R34" s="15" t="str">
        <f t="shared" si="15"/>
        <v>제외</v>
      </c>
      <c r="S34" s="23" t="str">
        <f>계산표!E19</f>
        <v/>
      </c>
      <c r="T34" s="46">
        <f>IFERROR(INDEX(계산표!$AV$4:$AV$43,MATCH(B34,계산표!$A$4:$A$43,0)),"")</f>
        <v>0</v>
      </c>
      <c r="U34" s="15"/>
      <c r="V34" s="15"/>
      <c r="W34" s="15"/>
      <c r="X34" s="15"/>
      <c r="Y34" s="15"/>
      <c r="Z34" s="15"/>
    </row>
    <row r="35" spans="1:26">
      <c r="A35" s="15" t="str">
        <f t="shared" si="16"/>
        <v/>
      </c>
      <c r="B35" s="15">
        <f>계산표!A20</f>
        <v>0</v>
      </c>
      <c r="C35" s="15">
        <f>계산표!B20</f>
        <v>0</v>
      </c>
      <c r="D35" s="15">
        <f>계산표!AW20</f>
        <v>0</v>
      </c>
      <c r="E35" s="22">
        <f>계산표!AL20</f>
        <v>0</v>
      </c>
      <c r="F35" s="22">
        <f>계산표!AO20</f>
        <v>0</v>
      </c>
      <c r="G35" s="25">
        <f t="shared" si="9"/>
        <v>0</v>
      </c>
      <c r="H35" s="24">
        <f t="shared" si="10"/>
        <v>0</v>
      </c>
      <c r="I35" s="24">
        <f t="shared" si="11"/>
        <v>0</v>
      </c>
      <c r="J35" s="24" t="str">
        <f>계산표!AT20</f>
        <v/>
      </c>
      <c r="K35" s="24" t="str">
        <f>계산표!AU20</f>
        <v/>
      </c>
      <c r="L35" s="21">
        <f>계산표!L20</f>
        <v>0</v>
      </c>
      <c r="M35" s="21">
        <f>IF(OR(D35&lt;&gt;1,C35="없음",계산표!AI20=0),0,MAX(0,1-계산표!AG20/계산표!AI20))</f>
        <v>0</v>
      </c>
      <c r="N35" s="21">
        <f>IFERROR(계산표!AP20-1,0)</f>
        <v>0</v>
      </c>
      <c r="O35" s="15" t="str">
        <f t="shared" si="12"/>
        <v>제외</v>
      </c>
      <c r="P35" s="15" t="str">
        <f t="shared" si="13"/>
        <v>비교 제외</v>
      </c>
      <c r="Q35" s="21" t="str">
        <f t="shared" si="14"/>
        <v/>
      </c>
      <c r="R35" s="15" t="str">
        <f t="shared" si="15"/>
        <v>제외</v>
      </c>
      <c r="S35" s="23" t="str">
        <f>계산표!E20</f>
        <v/>
      </c>
      <c r="T35" s="46">
        <f>IFERROR(INDEX(계산표!$AV$4:$AV$43,MATCH(B35,계산표!$A$4:$A$43,0)),"")</f>
        <v>0</v>
      </c>
      <c r="U35" s="15"/>
      <c r="V35" s="15"/>
      <c r="W35" s="15"/>
      <c r="X35" s="15"/>
      <c r="Y35" s="15"/>
      <c r="Z35" s="15"/>
    </row>
    <row r="36" spans="1:26">
      <c r="A36" s="15" t="str">
        <f t="shared" si="16"/>
        <v/>
      </c>
      <c r="B36" s="15">
        <f>계산표!A21</f>
        <v>0</v>
      </c>
      <c r="C36" s="15">
        <f>계산표!B21</f>
        <v>0</v>
      </c>
      <c r="D36" s="15">
        <f>계산표!AW21</f>
        <v>0</v>
      </c>
      <c r="E36" s="22">
        <f>계산표!AL21</f>
        <v>0</v>
      </c>
      <c r="F36" s="22">
        <f>계산표!AO21</f>
        <v>0</v>
      </c>
      <c r="G36" s="25">
        <f t="shared" si="9"/>
        <v>0</v>
      </c>
      <c r="H36" s="24">
        <f t="shared" si="10"/>
        <v>0</v>
      </c>
      <c r="I36" s="24">
        <f t="shared" si="11"/>
        <v>0</v>
      </c>
      <c r="J36" s="24" t="str">
        <f>계산표!AT21</f>
        <v/>
      </c>
      <c r="K36" s="24" t="str">
        <f>계산표!AU21</f>
        <v/>
      </c>
      <c r="L36" s="21">
        <f>계산표!L21</f>
        <v>0</v>
      </c>
      <c r="M36" s="21">
        <f>IF(OR(D36&lt;&gt;1,C36="없음",계산표!AI21=0),0,MAX(0,1-계산표!AG21/계산표!AI21))</f>
        <v>0</v>
      </c>
      <c r="N36" s="21">
        <f>IFERROR(계산표!AP21-1,0)</f>
        <v>0</v>
      </c>
      <c r="O36" s="15" t="str">
        <f t="shared" si="12"/>
        <v>제외</v>
      </c>
      <c r="P36" s="15" t="str">
        <f t="shared" si="13"/>
        <v>비교 제외</v>
      </c>
      <c r="Q36" s="21" t="str">
        <f t="shared" si="14"/>
        <v/>
      </c>
      <c r="R36" s="15" t="str">
        <f t="shared" si="15"/>
        <v>제외</v>
      </c>
      <c r="S36" s="23" t="str">
        <f>계산표!E21</f>
        <v/>
      </c>
      <c r="T36" s="46">
        <f>IFERROR(INDEX(계산표!$AV$4:$AV$43,MATCH(B36,계산표!$A$4:$A$43,0)),"")</f>
        <v>0</v>
      </c>
      <c r="U36" s="15"/>
      <c r="V36" s="15"/>
      <c r="W36" s="15"/>
      <c r="X36" s="15"/>
      <c r="Y36" s="15"/>
      <c r="Z36" s="15"/>
    </row>
    <row r="37" spans="1:26">
      <c r="A37" s="15" t="str">
        <f t="shared" si="16"/>
        <v/>
      </c>
      <c r="B37" s="15">
        <f>계산표!A22</f>
        <v>0</v>
      </c>
      <c r="C37" s="15">
        <f>계산표!B22</f>
        <v>0</v>
      </c>
      <c r="D37" s="15">
        <f>계산표!AW22</f>
        <v>0</v>
      </c>
      <c r="E37" s="22">
        <f>계산표!AL22</f>
        <v>0</v>
      </c>
      <c r="F37" s="22">
        <f>계산표!AO22</f>
        <v>0</v>
      </c>
      <c r="G37" s="25">
        <f t="shared" si="9"/>
        <v>0</v>
      </c>
      <c r="H37" s="24">
        <f t="shared" si="10"/>
        <v>0</v>
      </c>
      <c r="I37" s="24">
        <f t="shared" si="11"/>
        <v>0</v>
      </c>
      <c r="J37" s="24" t="str">
        <f>계산표!AT22</f>
        <v/>
      </c>
      <c r="K37" s="24" t="str">
        <f>계산표!AU22</f>
        <v/>
      </c>
      <c r="L37" s="21">
        <f>계산표!L22</f>
        <v>0</v>
      </c>
      <c r="M37" s="21">
        <f>IF(OR(D37&lt;&gt;1,C37="없음",계산표!AI22=0),0,MAX(0,1-계산표!AG22/계산표!AI22))</f>
        <v>0</v>
      </c>
      <c r="N37" s="21">
        <f>IFERROR(계산표!AP22-1,0)</f>
        <v>0</v>
      </c>
      <c r="O37" s="15" t="str">
        <f t="shared" si="12"/>
        <v>제외</v>
      </c>
      <c r="P37" s="15" t="str">
        <f t="shared" si="13"/>
        <v>비교 제외</v>
      </c>
      <c r="Q37" s="21" t="str">
        <f t="shared" si="14"/>
        <v/>
      </c>
      <c r="R37" s="15" t="str">
        <f t="shared" si="15"/>
        <v>제외</v>
      </c>
      <c r="S37" s="23" t="str">
        <f>계산표!E22</f>
        <v/>
      </c>
      <c r="T37" s="46">
        <f>IFERROR(INDEX(계산표!$AV$4:$AV$43,MATCH(B37,계산표!$A$4:$A$43,0)),"")</f>
        <v>0</v>
      </c>
      <c r="U37" s="15"/>
      <c r="V37" s="15"/>
      <c r="W37" s="15"/>
      <c r="X37" s="15"/>
      <c r="Y37" s="15"/>
      <c r="Z37" s="15"/>
    </row>
    <row r="38" spans="1:26">
      <c r="A38" s="15" t="str">
        <f t="shared" si="16"/>
        <v/>
      </c>
      <c r="B38" s="15">
        <f>계산표!A23</f>
        <v>0</v>
      </c>
      <c r="C38" s="15">
        <f>계산표!B23</f>
        <v>0</v>
      </c>
      <c r="D38" s="15">
        <f>계산표!AW23</f>
        <v>0</v>
      </c>
      <c r="E38" s="22">
        <f>계산표!AL23</f>
        <v>0</v>
      </c>
      <c r="F38" s="22">
        <f>계산표!AO23</f>
        <v>0</v>
      </c>
      <c r="G38" s="25">
        <f t="shared" si="9"/>
        <v>0</v>
      </c>
      <c r="H38" s="24">
        <f t="shared" si="10"/>
        <v>0</v>
      </c>
      <c r="I38" s="24">
        <f t="shared" si="11"/>
        <v>0</v>
      </c>
      <c r="J38" s="24" t="str">
        <f>계산표!AT23</f>
        <v/>
      </c>
      <c r="K38" s="24" t="str">
        <f>계산표!AU23</f>
        <v/>
      </c>
      <c r="L38" s="21">
        <f>계산표!L23</f>
        <v>0</v>
      </c>
      <c r="M38" s="21">
        <f>IF(OR(D38&lt;&gt;1,C38="없음",계산표!AI23=0),0,MAX(0,1-계산표!AG23/계산표!AI23))</f>
        <v>0</v>
      </c>
      <c r="N38" s="21">
        <f>IFERROR(계산표!AP23-1,0)</f>
        <v>0</v>
      </c>
      <c r="O38" s="15" t="str">
        <f t="shared" si="12"/>
        <v>제외</v>
      </c>
      <c r="P38" s="15" t="str">
        <f t="shared" si="13"/>
        <v>비교 제외</v>
      </c>
      <c r="Q38" s="21" t="str">
        <f t="shared" si="14"/>
        <v/>
      </c>
      <c r="R38" s="15" t="str">
        <f t="shared" si="15"/>
        <v>제외</v>
      </c>
      <c r="S38" s="23" t="str">
        <f>계산표!E23</f>
        <v/>
      </c>
      <c r="T38" s="46">
        <f>IFERROR(INDEX(계산표!$AV$4:$AV$43,MATCH(B38,계산표!$A$4:$A$43,0)),"")</f>
        <v>0</v>
      </c>
      <c r="U38" s="15"/>
      <c r="V38" s="15"/>
      <c r="W38" s="15"/>
      <c r="X38" s="15"/>
      <c r="Y38" s="15"/>
      <c r="Z38" s="15"/>
    </row>
    <row r="39" spans="1:26">
      <c r="A39" s="15" t="str">
        <f t="shared" si="16"/>
        <v/>
      </c>
      <c r="B39" s="15">
        <f>계산표!A24</f>
        <v>0</v>
      </c>
      <c r="C39" s="15">
        <f>계산표!B24</f>
        <v>0</v>
      </c>
      <c r="D39" s="15">
        <f>계산표!AW24</f>
        <v>0</v>
      </c>
      <c r="E39" s="22">
        <f>계산표!AL24</f>
        <v>0</v>
      </c>
      <c r="F39" s="22">
        <f>계산표!AO24</f>
        <v>0</v>
      </c>
      <c r="G39" s="25">
        <f t="shared" si="9"/>
        <v>0</v>
      </c>
      <c r="H39" s="24">
        <f t="shared" si="10"/>
        <v>0</v>
      </c>
      <c r="I39" s="24">
        <f t="shared" si="11"/>
        <v>0</v>
      </c>
      <c r="J39" s="24" t="str">
        <f>계산표!AT24</f>
        <v/>
      </c>
      <c r="K39" s="24" t="str">
        <f>계산표!AU24</f>
        <v/>
      </c>
      <c r="L39" s="21">
        <f>계산표!L24</f>
        <v>0</v>
      </c>
      <c r="M39" s="21">
        <f>IF(OR(D39&lt;&gt;1,C39="없음",계산표!AI24=0),0,MAX(0,1-계산표!AG24/계산표!AI24))</f>
        <v>0</v>
      </c>
      <c r="N39" s="21">
        <f>IFERROR(계산표!AP24-1,0)</f>
        <v>0</v>
      </c>
      <c r="O39" s="15" t="str">
        <f t="shared" si="12"/>
        <v>제외</v>
      </c>
      <c r="P39" s="15" t="str">
        <f t="shared" si="13"/>
        <v>비교 제외</v>
      </c>
      <c r="Q39" s="21" t="str">
        <f t="shared" si="14"/>
        <v/>
      </c>
      <c r="R39" s="15" t="str">
        <f t="shared" si="15"/>
        <v>제외</v>
      </c>
      <c r="S39" s="23" t="str">
        <f>계산표!E24</f>
        <v/>
      </c>
      <c r="T39" s="46">
        <f>IFERROR(INDEX(계산표!$AV$4:$AV$43,MATCH(B39,계산표!$A$4:$A$43,0)),"")</f>
        <v>0</v>
      </c>
      <c r="U39" s="15"/>
      <c r="V39" s="15"/>
      <c r="W39" s="15"/>
      <c r="X39" s="15"/>
      <c r="Y39" s="15"/>
      <c r="Z39" s="15"/>
    </row>
    <row r="40" spans="1:26">
      <c r="A40" s="15" t="str">
        <f t="shared" si="16"/>
        <v/>
      </c>
      <c r="B40" s="15">
        <f>계산표!A25</f>
        <v>0</v>
      </c>
      <c r="C40" s="15">
        <f>계산표!B25</f>
        <v>0</v>
      </c>
      <c r="D40" s="15">
        <f>계산표!AW25</f>
        <v>0</v>
      </c>
      <c r="E40" s="22">
        <f>계산표!AL25</f>
        <v>0</v>
      </c>
      <c r="F40" s="22">
        <f>계산표!AO25</f>
        <v>0</v>
      </c>
      <c r="G40" s="25">
        <f t="shared" si="9"/>
        <v>0</v>
      </c>
      <c r="H40" s="24">
        <f t="shared" si="10"/>
        <v>0</v>
      </c>
      <c r="I40" s="24">
        <f t="shared" si="11"/>
        <v>0</v>
      </c>
      <c r="J40" s="24" t="str">
        <f>계산표!AT25</f>
        <v/>
      </c>
      <c r="K40" s="24" t="str">
        <f>계산표!AU25</f>
        <v/>
      </c>
      <c r="L40" s="21">
        <f>계산표!L25</f>
        <v>0</v>
      </c>
      <c r="M40" s="21">
        <f>IF(OR(D40&lt;&gt;1,C40="없음",계산표!AI25=0),0,MAX(0,1-계산표!AG25/계산표!AI25))</f>
        <v>0</v>
      </c>
      <c r="N40" s="21">
        <f>IFERROR(계산표!AP25-1,0)</f>
        <v>0</v>
      </c>
      <c r="O40" s="15" t="str">
        <f t="shared" si="12"/>
        <v>제외</v>
      </c>
      <c r="P40" s="15" t="str">
        <f t="shared" si="13"/>
        <v>비교 제외</v>
      </c>
      <c r="Q40" s="21" t="str">
        <f t="shared" si="14"/>
        <v/>
      </c>
      <c r="R40" s="15" t="str">
        <f t="shared" si="15"/>
        <v>제외</v>
      </c>
      <c r="S40" s="23" t="str">
        <f>계산표!E25</f>
        <v/>
      </c>
      <c r="T40" s="46">
        <f>IFERROR(INDEX(계산표!$AV$4:$AV$43,MATCH(B40,계산표!$A$4:$A$43,0)),"")</f>
        <v>0</v>
      </c>
      <c r="U40" s="15"/>
      <c r="V40" s="15"/>
      <c r="W40" s="15"/>
      <c r="X40" s="15"/>
      <c r="Y40" s="15"/>
      <c r="Z40" s="15"/>
    </row>
    <row r="41" spans="1:26">
      <c r="A41" s="15" t="str">
        <f t="shared" si="16"/>
        <v/>
      </c>
      <c r="B41" s="15">
        <f>계산표!A26</f>
        <v>0</v>
      </c>
      <c r="C41" s="15">
        <f>계산표!B26</f>
        <v>0</v>
      </c>
      <c r="D41" s="15">
        <f>계산표!AW26</f>
        <v>0</v>
      </c>
      <c r="E41" s="22">
        <f>계산표!AL26</f>
        <v>0</v>
      </c>
      <c r="F41" s="22">
        <f>계산표!AO26</f>
        <v>0</v>
      </c>
      <c r="G41" s="25">
        <f t="shared" si="9"/>
        <v>0</v>
      </c>
      <c r="H41" s="24">
        <f t="shared" si="10"/>
        <v>0</v>
      </c>
      <c r="I41" s="24">
        <f t="shared" si="11"/>
        <v>0</v>
      </c>
      <c r="J41" s="24" t="str">
        <f>계산표!AT26</f>
        <v/>
      </c>
      <c r="K41" s="24" t="str">
        <f>계산표!AU26</f>
        <v/>
      </c>
      <c r="L41" s="21">
        <f>계산표!L26</f>
        <v>0</v>
      </c>
      <c r="M41" s="21">
        <f>IF(OR(D41&lt;&gt;1,C41="없음",계산표!AI26=0),0,MAX(0,1-계산표!AG26/계산표!AI26))</f>
        <v>0</v>
      </c>
      <c r="N41" s="21">
        <f>IFERROR(계산표!AP26-1,0)</f>
        <v>0</v>
      </c>
      <c r="O41" s="15" t="str">
        <f t="shared" si="12"/>
        <v>제외</v>
      </c>
      <c r="P41" s="15" t="str">
        <f t="shared" si="13"/>
        <v>비교 제외</v>
      </c>
      <c r="Q41" s="21" t="str">
        <f t="shared" si="14"/>
        <v/>
      </c>
      <c r="R41" s="15" t="str">
        <f t="shared" si="15"/>
        <v>제외</v>
      </c>
      <c r="S41" s="23" t="str">
        <f>계산표!E26</f>
        <v/>
      </c>
      <c r="T41" s="46">
        <f>IFERROR(INDEX(계산표!$AV$4:$AV$43,MATCH(B41,계산표!$A$4:$A$43,0)),"")</f>
        <v>0</v>
      </c>
      <c r="U41" s="15"/>
      <c r="V41" s="15"/>
      <c r="W41" s="15"/>
      <c r="X41" s="15"/>
      <c r="Y41" s="15"/>
      <c r="Z41" s="15"/>
    </row>
    <row r="42" spans="1:26">
      <c r="A42" s="15" t="str">
        <f t="shared" si="16"/>
        <v/>
      </c>
      <c r="B42" s="15">
        <f>계산표!A27</f>
        <v>0</v>
      </c>
      <c r="C42" s="15">
        <f>계산표!B27</f>
        <v>0</v>
      </c>
      <c r="D42" s="15">
        <f>계산표!AW27</f>
        <v>0</v>
      </c>
      <c r="E42" s="22">
        <f>계산표!AL27</f>
        <v>0</v>
      </c>
      <c r="F42" s="22">
        <f>계산표!AO27</f>
        <v>0</v>
      </c>
      <c r="G42" s="25">
        <f t="shared" si="9"/>
        <v>0</v>
      </c>
      <c r="H42" s="24">
        <f t="shared" si="10"/>
        <v>0</v>
      </c>
      <c r="I42" s="24">
        <f t="shared" si="11"/>
        <v>0</v>
      </c>
      <c r="J42" s="24" t="str">
        <f>계산표!AT27</f>
        <v/>
      </c>
      <c r="K42" s="24" t="str">
        <f>계산표!AU27</f>
        <v/>
      </c>
      <c r="L42" s="21">
        <f>계산표!L27</f>
        <v>0</v>
      </c>
      <c r="M42" s="21">
        <f>IF(OR(D42&lt;&gt;1,C42="없음",계산표!AI27=0),0,MAX(0,1-계산표!AG27/계산표!AI27))</f>
        <v>0</v>
      </c>
      <c r="N42" s="21">
        <f>IFERROR(계산표!AP27-1,0)</f>
        <v>0</v>
      </c>
      <c r="O42" s="15" t="str">
        <f t="shared" si="12"/>
        <v>제외</v>
      </c>
      <c r="P42" s="15" t="str">
        <f t="shared" si="13"/>
        <v>비교 제외</v>
      </c>
      <c r="Q42" s="21" t="str">
        <f t="shared" si="14"/>
        <v/>
      </c>
      <c r="R42" s="15" t="str">
        <f t="shared" si="15"/>
        <v>제외</v>
      </c>
      <c r="S42" s="23" t="str">
        <f>계산표!E27</f>
        <v/>
      </c>
      <c r="T42" s="46">
        <f>IFERROR(INDEX(계산표!$AV$4:$AV$43,MATCH(B42,계산표!$A$4:$A$43,0)),"")</f>
        <v>0</v>
      </c>
      <c r="U42" s="15"/>
      <c r="V42" s="15"/>
      <c r="W42" s="15"/>
      <c r="X42" s="15"/>
      <c r="Y42" s="15"/>
      <c r="Z42" s="15"/>
    </row>
    <row r="43" spans="1:26">
      <c r="A43" s="15" t="str">
        <f t="shared" si="16"/>
        <v/>
      </c>
      <c r="B43" s="15">
        <f>계산표!A28</f>
        <v>0</v>
      </c>
      <c r="C43" s="15">
        <f>계산표!B28</f>
        <v>0</v>
      </c>
      <c r="D43" s="15">
        <f>계산표!AW28</f>
        <v>0</v>
      </c>
      <c r="E43" s="22">
        <f>계산표!AL28</f>
        <v>0</v>
      </c>
      <c r="F43" s="22">
        <f>계산표!AO28</f>
        <v>0</v>
      </c>
      <c r="G43" s="25">
        <f t="shared" si="9"/>
        <v>0</v>
      </c>
      <c r="H43" s="24">
        <f t="shared" si="10"/>
        <v>0</v>
      </c>
      <c r="I43" s="24">
        <f t="shared" si="11"/>
        <v>0</v>
      </c>
      <c r="J43" s="24" t="str">
        <f>계산표!AT28</f>
        <v/>
      </c>
      <c r="K43" s="24" t="str">
        <f>계산표!AU28</f>
        <v/>
      </c>
      <c r="L43" s="21">
        <f>계산표!L28</f>
        <v>0</v>
      </c>
      <c r="M43" s="21">
        <f>IF(OR(D43&lt;&gt;1,C43="없음",계산표!AI28=0),0,MAX(0,1-계산표!AG28/계산표!AI28))</f>
        <v>0</v>
      </c>
      <c r="N43" s="21">
        <f>IFERROR(계산표!AP28-1,0)</f>
        <v>0</v>
      </c>
      <c r="O43" s="15" t="str">
        <f t="shared" si="12"/>
        <v>제외</v>
      </c>
      <c r="P43" s="15" t="str">
        <f t="shared" si="13"/>
        <v>비교 제외</v>
      </c>
      <c r="Q43" s="21" t="str">
        <f t="shared" si="14"/>
        <v/>
      </c>
      <c r="R43" s="15" t="str">
        <f t="shared" si="15"/>
        <v>제외</v>
      </c>
      <c r="S43" s="23" t="str">
        <f>계산표!E28</f>
        <v/>
      </c>
      <c r="T43" s="46">
        <f>IFERROR(INDEX(계산표!$AV$4:$AV$43,MATCH(B43,계산표!$A$4:$A$43,0)),"")</f>
        <v>0</v>
      </c>
      <c r="U43" s="15"/>
      <c r="V43" s="15"/>
      <c r="W43" s="15"/>
      <c r="X43" s="15"/>
      <c r="Y43" s="15"/>
      <c r="Z43" s="15"/>
    </row>
    <row r="44" spans="1:26">
      <c r="A44" s="15" t="str">
        <f t="shared" si="16"/>
        <v/>
      </c>
      <c r="B44" s="15">
        <f>계산표!A29</f>
        <v>0</v>
      </c>
      <c r="C44" s="15">
        <f>계산표!B29</f>
        <v>0</v>
      </c>
      <c r="D44" s="15">
        <f>계산표!AW29</f>
        <v>0</v>
      </c>
      <c r="E44" s="22">
        <f>계산표!AL29</f>
        <v>0</v>
      </c>
      <c r="F44" s="22">
        <f>계산표!AO29</f>
        <v>0</v>
      </c>
      <c r="G44" s="25">
        <f t="shared" si="9"/>
        <v>0</v>
      </c>
      <c r="H44" s="24">
        <f t="shared" si="10"/>
        <v>0</v>
      </c>
      <c r="I44" s="24">
        <f t="shared" si="11"/>
        <v>0</v>
      </c>
      <c r="J44" s="24" t="str">
        <f>계산표!AT29</f>
        <v/>
      </c>
      <c r="K44" s="24" t="str">
        <f>계산표!AU29</f>
        <v/>
      </c>
      <c r="L44" s="21">
        <f>계산표!L29</f>
        <v>0</v>
      </c>
      <c r="M44" s="21">
        <f>IF(OR(D44&lt;&gt;1,C44="없음",계산표!AI29=0),0,MAX(0,1-계산표!AG29/계산표!AI29))</f>
        <v>0</v>
      </c>
      <c r="N44" s="21">
        <f>IFERROR(계산표!AP29-1,0)</f>
        <v>0</v>
      </c>
      <c r="O44" s="15" t="str">
        <f t="shared" si="12"/>
        <v>제외</v>
      </c>
      <c r="P44" s="15" t="str">
        <f t="shared" si="13"/>
        <v>비교 제외</v>
      </c>
      <c r="Q44" s="21" t="str">
        <f t="shared" si="14"/>
        <v/>
      </c>
      <c r="R44" s="15" t="str">
        <f t="shared" si="15"/>
        <v>제외</v>
      </c>
      <c r="S44" s="23" t="str">
        <f>계산표!E29</f>
        <v/>
      </c>
      <c r="T44" s="46">
        <f>IFERROR(INDEX(계산표!$AV$4:$AV$43,MATCH(B44,계산표!$A$4:$A$43,0)),"")</f>
        <v>0</v>
      </c>
      <c r="U44" s="15"/>
      <c r="V44" s="15"/>
      <c r="W44" s="15"/>
      <c r="X44" s="15"/>
      <c r="Y44" s="15"/>
      <c r="Z44" s="15"/>
    </row>
    <row r="45" spans="1:26">
      <c r="A45" s="15" t="str">
        <f t="shared" si="16"/>
        <v/>
      </c>
      <c r="B45" s="15">
        <f>계산표!A30</f>
        <v>0</v>
      </c>
      <c r="C45" s="15">
        <f>계산표!B30</f>
        <v>0</v>
      </c>
      <c r="D45" s="15">
        <f>계산표!AW30</f>
        <v>0</v>
      </c>
      <c r="E45" s="22">
        <f>계산표!AL30</f>
        <v>0</v>
      </c>
      <c r="F45" s="22">
        <f>계산표!AO30</f>
        <v>0</v>
      </c>
      <c r="G45" s="25">
        <f t="shared" si="9"/>
        <v>0</v>
      </c>
      <c r="H45" s="24">
        <f t="shared" si="10"/>
        <v>0</v>
      </c>
      <c r="I45" s="24">
        <f t="shared" si="11"/>
        <v>0</v>
      </c>
      <c r="J45" s="24" t="str">
        <f>계산표!AT30</f>
        <v/>
      </c>
      <c r="K45" s="24" t="str">
        <f>계산표!AU30</f>
        <v/>
      </c>
      <c r="L45" s="21">
        <f>계산표!L30</f>
        <v>0</v>
      </c>
      <c r="M45" s="21">
        <f>IF(OR(D45&lt;&gt;1,C45="없음",계산표!AI30=0),0,MAX(0,1-계산표!AG30/계산표!AI30))</f>
        <v>0</v>
      </c>
      <c r="N45" s="21">
        <f>IFERROR(계산표!AP30-1,0)</f>
        <v>0</v>
      </c>
      <c r="O45" s="15" t="str">
        <f t="shared" si="12"/>
        <v>제외</v>
      </c>
      <c r="P45" s="15" t="str">
        <f t="shared" si="13"/>
        <v>비교 제외</v>
      </c>
      <c r="Q45" s="21" t="str">
        <f t="shared" si="14"/>
        <v/>
      </c>
      <c r="R45" s="15" t="str">
        <f t="shared" si="15"/>
        <v>제외</v>
      </c>
      <c r="S45" s="23" t="str">
        <f>계산표!E30</f>
        <v/>
      </c>
      <c r="T45" s="46">
        <f>IFERROR(INDEX(계산표!$AV$4:$AV$43,MATCH(B45,계산표!$A$4:$A$43,0)),"")</f>
        <v>0</v>
      </c>
      <c r="U45" s="15"/>
      <c r="V45" s="15"/>
      <c r="W45" s="15"/>
      <c r="X45" s="15"/>
      <c r="Y45" s="15"/>
      <c r="Z45" s="15"/>
    </row>
    <row r="46" spans="1:26">
      <c r="A46" s="15" t="str">
        <f t="shared" si="16"/>
        <v/>
      </c>
      <c r="B46" s="15">
        <f>계산표!A31</f>
        <v>0</v>
      </c>
      <c r="C46" s="15">
        <f>계산표!B31</f>
        <v>0</v>
      </c>
      <c r="D46" s="15">
        <f>계산표!AW31</f>
        <v>0</v>
      </c>
      <c r="E46" s="22">
        <f>계산표!AL31</f>
        <v>0</v>
      </c>
      <c r="F46" s="22">
        <f>계산표!AO31</f>
        <v>0</v>
      </c>
      <c r="G46" s="25">
        <f t="shared" si="9"/>
        <v>0</v>
      </c>
      <c r="H46" s="24">
        <f t="shared" si="10"/>
        <v>0</v>
      </c>
      <c r="I46" s="24">
        <f t="shared" si="11"/>
        <v>0</v>
      </c>
      <c r="J46" s="24" t="str">
        <f>계산표!AT31</f>
        <v/>
      </c>
      <c r="K46" s="24" t="str">
        <f>계산표!AU31</f>
        <v/>
      </c>
      <c r="L46" s="21">
        <f>계산표!L31</f>
        <v>0</v>
      </c>
      <c r="M46" s="21">
        <f>IF(OR(D46&lt;&gt;1,C46="없음",계산표!AI31=0),0,MAX(0,1-계산표!AG31/계산표!AI31))</f>
        <v>0</v>
      </c>
      <c r="N46" s="21">
        <f>IFERROR(계산표!AP31-1,0)</f>
        <v>0</v>
      </c>
      <c r="O46" s="15" t="str">
        <f t="shared" si="12"/>
        <v>제외</v>
      </c>
      <c r="P46" s="15" t="str">
        <f t="shared" si="13"/>
        <v>비교 제외</v>
      </c>
      <c r="Q46" s="21" t="str">
        <f t="shared" si="14"/>
        <v/>
      </c>
      <c r="R46" s="15" t="str">
        <f t="shared" si="15"/>
        <v>제외</v>
      </c>
      <c r="S46" s="23" t="str">
        <f>계산표!E31</f>
        <v/>
      </c>
      <c r="T46" s="46">
        <f>IFERROR(INDEX(계산표!$AV$4:$AV$43,MATCH(B46,계산표!$A$4:$A$43,0)),"")</f>
        <v>0</v>
      </c>
      <c r="U46" s="15"/>
      <c r="V46" s="15"/>
      <c r="W46" s="15"/>
      <c r="X46" s="15"/>
      <c r="Y46" s="15"/>
      <c r="Z46" s="15"/>
    </row>
    <row r="47" spans="1:26">
      <c r="A47" s="15" t="str">
        <f t="shared" si="16"/>
        <v/>
      </c>
      <c r="B47" s="15">
        <f>계산표!A32</f>
        <v>0</v>
      </c>
      <c r="C47" s="15">
        <f>계산표!B32</f>
        <v>0</v>
      </c>
      <c r="D47" s="15">
        <f>계산표!AW32</f>
        <v>0</v>
      </c>
      <c r="E47" s="22">
        <f>계산표!AL32</f>
        <v>0</v>
      </c>
      <c r="F47" s="22">
        <f>계산표!AO32</f>
        <v>0</v>
      </c>
      <c r="G47" s="25">
        <f t="shared" si="9"/>
        <v>0</v>
      </c>
      <c r="H47" s="24">
        <f t="shared" si="10"/>
        <v>0</v>
      </c>
      <c r="I47" s="24">
        <f t="shared" si="11"/>
        <v>0</v>
      </c>
      <c r="J47" s="24" t="str">
        <f>계산표!AT32</f>
        <v/>
      </c>
      <c r="K47" s="24" t="str">
        <f>계산표!AU32</f>
        <v/>
      </c>
      <c r="L47" s="21">
        <f>계산표!L32</f>
        <v>0</v>
      </c>
      <c r="M47" s="21">
        <f>IF(OR(D47&lt;&gt;1,C47="없음",계산표!AI32=0),0,MAX(0,1-계산표!AG32/계산표!AI32))</f>
        <v>0</v>
      </c>
      <c r="N47" s="21">
        <f>IFERROR(계산표!AP32-1,0)</f>
        <v>0</v>
      </c>
      <c r="O47" s="15" t="str">
        <f t="shared" si="12"/>
        <v>제외</v>
      </c>
      <c r="P47" s="15" t="str">
        <f t="shared" si="13"/>
        <v>비교 제외</v>
      </c>
      <c r="Q47" s="21" t="str">
        <f t="shared" si="14"/>
        <v/>
      </c>
      <c r="R47" s="15" t="str">
        <f t="shared" si="15"/>
        <v>제외</v>
      </c>
      <c r="S47" s="23" t="str">
        <f>계산표!E32</f>
        <v/>
      </c>
      <c r="T47" s="46">
        <f>IFERROR(INDEX(계산표!$AV$4:$AV$43,MATCH(B47,계산표!$A$4:$A$43,0)),"")</f>
        <v>0</v>
      </c>
      <c r="U47" s="15"/>
      <c r="V47" s="15"/>
      <c r="W47" s="15"/>
      <c r="X47" s="15"/>
      <c r="Y47" s="15"/>
      <c r="Z47" s="15"/>
    </row>
    <row r="48" spans="1:26">
      <c r="A48" s="15" t="str">
        <f t="shared" si="16"/>
        <v/>
      </c>
      <c r="B48" s="15">
        <f>계산표!A33</f>
        <v>0</v>
      </c>
      <c r="C48" s="15">
        <f>계산표!B33</f>
        <v>0</v>
      </c>
      <c r="D48" s="15">
        <f>계산표!AW33</f>
        <v>0</v>
      </c>
      <c r="E48" s="22">
        <f>계산표!AL33</f>
        <v>0</v>
      </c>
      <c r="F48" s="22">
        <f>계산표!AO33</f>
        <v>0</v>
      </c>
      <c r="G48" s="25">
        <f t="shared" si="9"/>
        <v>0</v>
      </c>
      <c r="H48" s="24">
        <f t="shared" si="10"/>
        <v>0</v>
      </c>
      <c r="I48" s="24">
        <f t="shared" si="11"/>
        <v>0</v>
      </c>
      <c r="J48" s="24" t="str">
        <f>계산표!AT33</f>
        <v/>
      </c>
      <c r="K48" s="24" t="str">
        <f>계산표!AU33</f>
        <v/>
      </c>
      <c r="L48" s="21">
        <f>계산표!L33</f>
        <v>0</v>
      </c>
      <c r="M48" s="21">
        <f>IF(OR(D48&lt;&gt;1,C48="없음",계산표!AI33=0),0,MAX(0,1-계산표!AG33/계산표!AI33))</f>
        <v>0</v>
      </c>
      <c r="N48" s="21">
        <f>IFERROR(계산표!AP33-1,0)</f>
        <v>0</v>
      </c>
      <c r="O48" s="15" t="str">
        <f t="shared" si="12"/>
        <v>제외</v>
      </c>
      <c r="P48" s="15" t="str">
        <f t="shared" si="13"/>
        <v>비교 제외</v>
      </c>
      <c r="Q48" s="21" t="str">
        <f t="shared" si="14"/>
        <v/>
      </c>
      <c r="R48" s="15" t="str">
        <f t="shared" si="15"/>
        <v>제외</v>
      </c>
      <c r="S48" s="23" t="str">
        <f>계산표!E33</f>
        <v/>
      </c>
      <c r="T48" s="46">
        <f>IFERROR(INDEX(계산표!$AV$4:$AV$43,MATCH(B48,계산표!$A$4:$A$43,0)),"")</f>
        <v>0</v>
      </c>
      <c r="U48" s="15"/>
      <c r="V48" s="15"/>
      <c r="W48" s="15"/>
      <c r="X48" s="15"/>
      <c r="Y48" s="15"/>
      <c r="Z48" s="15"/>
    </row>
    <row r="49" spans="1:26">
      <c r="A49" s="15" t="str">
        <f t="shared" si="16"/>
        <v/>
      </c>
      <c r="B49" s="15">
        <f>계산표!A34</f>
        <v>0</v>
      </c>
      <c r="C49" s="15">
        <f>계산표!B34</f>
        <v>0</v>
      </c>
      <c r="D49" s="15">
        <f>계산표!AW34</f>
        <v>0</v>
      </c>
      <c r="E49" s="22">
        <f>계산표!AL34</f>
        <v>0</v>
      </c>
      <c r="F49" s="22">
        <f>계산표!AO34</f>
        <v>0</v>
      </c>
      <c r="G49" s="25">
        <f t="shared" si="9"/>
        <v>0</v>
      </c>
      <c r="H49" s="24">
        <f t="shared" si="10"/>
        <v>0</v>
      </c>
      <c r="I49" s="24">
        <f t="shared" si="11"/>
        <v>0</v>
      </c>
      <c r="J49" s="24" t="str">
        <f>계산표!AT34</f>
        <v/>
      </c>
      <c r="K49" s="24" t="str">
        <f>계산표!AU34</f>
        <v/>
      </c>
      <c r="L49" s="21">
        <f>계산표!L34</f>
        <v>0</v>
      </c>
      <c r="M49" s="21">
        <f>IF(OR(D49&lt;&gt;1,C49="없음",계산표!AI34=0),0,MAX(0,1-계산표!AG34/계산표!AI34))</f>
        <v>0</v>
      </c>
      <c r="N49" s="21">
        <f>IFERROR(계산표!AP34-1,0)</f>
        <v>0</v>
      </c>
      <c r="O49" s="15" t="str">
        <f t="shared" si="12"/>
        <v>제외</v>
      </c>
      <c r="P49" s="15" t="str">
        <f t="shared" si="13"/>
        <v>비교 제외</v>
      </c>
      <c r="Q49" s="21" t="str">
        <f t="shared" si="14"/>
        <v/>
      </c>
      <c r="R49" s="15" t="str">
        <f t="shared" si="15"/>
        <v>제외</v>
      </c>
      <c r="S49" s="23" t="str">
        <f>계산표!E34</f>
        <v/>
      </c>
      <c r="T49" s="46">
        <f>IFERROR(INDEX(계산표!$AV$4:$AV$43,MATCH(B49,계산표!$A$4:$A$43,0)),"")</f>
        <v>0</v>
      </c>
      <c r="U49" s="15"/>
      <c r="V49" s="15"/>
      <c r="W49" s="15"/>
      <c r="X49" s="15"/>
      <c r="Y49" s="15"/>
      <c r="Z49" s="15"/>
    </row>
    <row r="50" spans="1:26">
      <c r="A50" s="15" t="str">
        <f t="shared" si="16"/>
        <v/>
      </c>
      <c r="B50" s="15">
        <f>계산표!A35</f>
        <v>0</v>
      </c>
      <c r="C50" s="15">
        <f>계산표!B35</f>
        <v>0</v>
      </c>
      <c r="D50" s="15">
        <f>계산표!AW35</f>
        <v>0</v>
      </c>
      <c r="E50" s="22">
        <f>계산표!AL35</f>
        <v>0</v>
      </c>
      <c r="F50" s="22">
        <f>계산표!AO35</f>
        <v>0</v>
      </c>
      <c r="G50" s="25">
        <f t="shared" si="9"/>
        <v>0</v>
      </c>
      <c r="H50" s="24">
        <f t="shared" si="10"/>
        <v>0</v>
      </c>
      <c r="I50" s="24">
        <f t="shared" si="11"/>
        <v>0</v>
      </c>
      <c r="J50" s="24" t="str">
        <f>계산표!AT35</f>
        <v/>
      </c>
      <c r="K50" s="24" t="str">
        <f>계산표!AU35</f>
        <v/>
      </c>
      <c r="L50" s="21">
        <f>계산표!L35</f>
        <v>0</v>
      </c>
      <c r="M50" s="21">
        <f>IF(OR(D50&lt;&gt;1,C50="없음",계산표!AI35=0),0,MAX(0,1-계산표!AG35/계산표!AI35))</f>
        <v>0</v>
      </c>
      <c r="N50" s="21">
        <f>IFERROR(계산표!AP35-1,0)</f>
        <v>0</v>
      </c>
      <c r="O50" s="15" t="str">
        <f t="shared" si="12"/>
        <v>제외</v>
      </c>
      <c r="P50" s="15" t="str">
        <f t="shared" si="13"/>
        <v>비교 제외</v>
      </c>
      <c r="Q50" s="21" t="str">
        <f t="shared" si="14"/>
        <v/>
      </c>
      <c r="R50" s="15" t="str">
        <f t="shared" si="15"/>
        <v>제외</v>
      </c>
      <c r="S50" s="23" t="str">
        <f>계산표!E35</f>
        <v/>
      </c>
      <c r="T50" s="46">
        <f>IFERROR(INDEX(계산표!$AV$4:$AV$43,MATCH(B50,계산표!$A$4:$A$43,0)),"")</f>
        <v>0</v>
      </c>
      <c r="U50" s="15"/>
      <c r="V50" s="15"/>
      <c r="W50" s="15"/>
      <c r="X50" s="15"/>
      <c r="Y50" s="15"/>
      <c r="Z50" s="15"/>
    </row>
    <row r="51" spans="1:26">
      <c r="A51" s="15" t="str">
        <f t="shared" si="16"/>
        <v/>
      </c>
      <c r="B51" s="15">
        <f>계산표!A36</f>
        <v>0</v>
      </c>
      <c r="C51" s="15">
        <f>계산표!B36</f>
        <v>0</v>
      </c>
      <c r="D51" s="15">
        <f>계산표!AW36</f>
        <v>0</v>
      </c>
      <c r="E51" s="22">
        <f>계산표!AL36</f>
        <v>0</v>
      </c>
      <c r="F51" s="22">
        <f>계산표!AO36</f>
        <v>0</v>
      </c>
      <c r="G51" s="25">
        <f t="shared" si="9"/>
        <v>0</v>
      </c>
      <c r="H51" s="24">
        <f t="shared" si="10"/>
        <v>0</v>
      </c>
      <c r="I51" s="24">
        <f t="shared" si="11"/>
        <v>0</v>
      </c>
      <c r="J51" s="24" t="str">
        <f>계산표!AT36</f>
        <v/>
      </c>
      <c r="K51" s="24" t="str">
        <f>계산표!AU36</f>
        <v/>
      </c>
      <c r="L51" s="21">
        <f>계산표!L36</f>
        <v>0</v>
      </c>
      <c r="M51" s="21">
        <f>IF(OR(D51&lt;&gt;1,C51="없음",계산표!AI36=0),0,MAX(0,1-계산표!AG36/계산표!AI36))</f>
        <v>0</v>
      </c>
      <c r="N51" s="21">
        <f>IFERROR(계산표!AP36-1,0)</f>
        <v>0</v>
      </c>
      <c r="O51" s="15" t="str">
        <f t="shared" si="12"/>
        <v>제외</v>
      </c>
      <c r="P51" s="15" t="str">
        <f t="shared" si="13"/>
        <v>비교 제외</v>
      </c>
      <c r="Q51" s="21" t="str">
        <f t="shared" si="14"/>
        <v/>
      </c>
      <c r="R51" s="15" t="str">
        <f t="shared" si="15"/>
        <v>제외</v>
      </c>
      <c r="S51" s="23" t="str">
        <f>계산표!E36</f>
        <v/>
      </c>
      <c r="T51" s="46">
        <f>IFERROR(INDEX(계산표!$AV$4:$AV$43,MATCH(B51,계산표!$A$4:$A$43,0)),"")</f>
        <v>0</v>
      </c>
      <c r="U51" s="15"/>
      <c r="V51" s="15"/>
      <c r="W51" s="15"/>
      <c r="X51" s="15"/>
      <c r="Y51" s="15"/>
      <c r="Z51" s="15"/>
    </row>
    <row r="52" spans="1:26">
      <c r="A52" s="15" t="str">
        <f t="shared" si="16"/>
        <v/>
      </c>
      <c r="B52" s="15">
        <f>계산표!A37</f>
        <v>0</v>
      </c>
      <c r="C52" s="15">
        <f>계산표!B37</f>
        <v>0</v>
      </c>
      <c r="D52" s="15">
        <f>계산표!AW37</f>
        <v>0</v>
      </c>
      <c r="E52" s="22">
        <f>계산표!AL37</f>
        <v>0</v>
      </c>
      <c r="F52" s="22">
        <f>계산표!AO37</f>
        <v>0</v>
      </c>
      <c r="G52" s="25">
        <f t="shared" si="9"/>
        <v>0</v>
      </c>
      <c r="H52" s="24">
        <f t="shared" si="10"/>
        <v>0</v>
      </c>
      <c r="I52" s="24">
        <f t="shared" si="11"/>
        <v>0</v>
      </c>
      <c r="J52" s="24" t="str">
        <f>계산표!AT37</f>
        <v/>
      </c>
      <c r="K52" s="24" t="str">
        <f>계산표!AU37</f>
        <v/>
      </c>
      <c r="L52" s="21">
        <f>계산표!L37</f>
        <v>0</v>
      </c>
      <c r="M52" s="21">
        <f>IF(OR(D52&lt;&gt;1,C52="없음",계산표!AI37=0),0,MAX(0,1-계산표!AG37/계산표!AI37))</f>
        <v>0</v>
      </c>
      <c r="N52" s="21">
        <f>IFERROR(계산표!AP37-1,0)</f>
        <v>0</v>
      </c>
      <c r="O52" s="15" t="str">
        <f t="shared" si="12"/>
        <v>제외</v>
      </c>
      <c r="P52" s="15" t="str">
        <f t="shared" si="13"/>
        <v>비교 제외</v>
      </c>
      <c r="Q52" s="21" t="str">
        <f t="shared" si="14"/>
        <v/>
      </c>
      <c r="R52" s="15" t="str">
        <f t="shared" si="15"/>
        <v>제외</v>
      </c>
      <c r="S52" s="23" t="str">
        <f>계산표!E37</f>
        <v/>
      </c>
      <c r="T52" s="46">
        <f>IFERROR(INDEX(계산표!$AV$4:$AV$43,MATCH(B52,계산표!$A$4:$A$43,0)),"")</f>
        <v>0</v>
      </c>
      <c r="U52" s="15"/>
      <c r="V52" s="15"/>
      <c r="W52" s="15"/>
      <c r="X52" s="15"/>
      <c r="Y52" s="15"/>
      <c r="Z52" s="15"/>
    </row>
    <row r="53" spans="1:26">
      <c r="A53" s="15" t="str">
        <f t="shared" si="16"/>
        <v/>
      </c>
      <c r="B53" s="15">
        <f>계산표!A38</f>
        <v>0</v>
      </c>
      <c r="C53" s="15">
        <f>계산표!B38</f>
        <v>0</v>
      </c>
      <c r="D53" s="15">
        <f>계산표!AW38</f>
        <v>0</v>
      </c>
      <c r="E53" s="22">
        <f>계산표!AL38</f>
        <v>0</v>
      </c>
      <c r="F53" s="22">
        <f>계산표!AO38</f>
        <v>0</v>
      </c>
      <c r="G53" s="25">
        <f t="shared" si="9"/>
        <v>0</v>
      </c>
      <c r="H53" s="24">
        <f t="shared" si="10"/>
        <v>0</v>
      </c>
      <c r="I53" s="24">
        <f t="shared" si="11"/>
        <v>0</v>
      </c>
      <c r="J53" s="24" t="str">
        <f>계산표!AT38</f>
        <v/>
      </c>
      <c r="K53" s="24" t="str">
        <f>계산표!AU38</f>
        <v/>
      </c>
      <c r="L53" s="21">
        <f>계산표!L38</f>
        <v>0</v>
      </c>
      <c r="M53" s="21">
        <f>IF(OR(D53&lt;&gt;1,C53="없음",계산표!AI38=0),0,MAX(0,1-계산표!AG38/계산표!AI38))</f>
        <v>0</v>
      </c>
      <c r="N53" s="21">
        <f>IFERROR(계산표!AP38-1,0)</f>
        <v>0</v>
      </c>
      <c r="O53" s="15" t="str">
        <f t="shared" si="12"/>
        <v>제외</v>
      </c>
      <c r="P53" s="15" t="str">
        <f t="shared" si="13"/>
        <v>비교 제외</v>
      </c>
      <c r="Q53" s="21" t="str">
        <f t="shared" si="14"/>
        <v/>
      </c>
      <c r="R53" s="15" t="str">
        <f t="shared" si="15"/>
        <v>제외</v>
      </c>
      <c r="S53" s="23" t="str">
        <f>계산표!E38</f>
        <v/>
      </c>
      <c r="T53" s="46">
        <f>IFERROR(INDEX(계산표!$AV$4:$AV$43,MATCH(B53,계산표!$A$4:$A$43,0)),"")</f>
        <v>0</v>
      </c>
      <c r="U53" s="15"/>
      <c r="V53" s="15"/>
      <c r="W53" s="15"/>
      <c r="X53" s="15"/>
      <c r="Y53" s="15"/>
      <c r="Z53" s="15"/>
    </row>
    <row r="54" spans="1:26">
      <c r="A54" s="15" t="str">
        <f t="shared" si="16"/>
        <v/>
      </c>
      <c r="B54" s="15">
        <f>계산표!A39</f>
        <v>0</v>
      </c>
      <c r="C54" s="15">
        <f>계산표!B39</f>
        <v>0</v>
      </c>
      <c r="D54" s="15">
        <f>계산표!AW39</f>
        <v>0</v>
      </c>
      <c r="E54" s="22">
        <f>계산표!AL39</f>
        <v>0</v>
      </c>
      <c r="F54" s="22">
        <f>계산표!AO39</f>
        <v>0</v>
      </c>
      <c r="G54" s="25">
        <f t="shared" si="9"/>
        <v>0</v>
      </c>
      <c r="H54" s="24">
        <f t="shared" si="10"/>
        <v>0</v>
      </c>
      <c r="I54" s="24">
        <f t="shared" si="11"/>
        <v>0</v>
      </c>
      <c r="J54" s="24" t="str">
        <f>계산표!AT39</f>
        <v/>
      </c>
      <c r="K54" s="24" t="str">
        <f>계산표!AU39</f>
        <v/>
      </c>
      <c r="L54" s="21">
        <f>계산표!L39</f>
        <v>0</v>
      </c>
      <c r="M54" s="21">
        <f>IF(OR(D54&lt;&gt;1,C54="없음",계산표!AI39=0),0,MAX(0,1-계산표!AG39/계산표!AI39))</f>
        <v>0</v>
      </c>
      <c r="N54" s="21">
        <f>IFERROR(계산표!AP39-1,0)</f>
        <v>0</v>
      </c>
      <c r="O54" s="15" t="str">
        <f t="shared" si="12"/>
        <v>제외</v>
      </c>
      <c r="P54" s="15" t="str">
        <f t="shared" si="13"/>
        <v>비교 제외</v>
      </c>
      <c r="Q54" s="21" t="str">
        <f t="shared" si="14"/>
        <v/>
      </c>
      <c r="R54" s="15" t="str">
        <f t="shared" si="15"/>
        <v>제외</v>
      </c>
      <c r="S54" s="23" t="str">
        <f>계산표!E39</f>
        <v/>
      </c>
      <c r="T54" s="46">
        <f>IFERROR(INDEX(계산표!$AV$4:$AV$43,MATCH(B54,계산표!$A$4:$A$43,0)),"")</f>
        <v>0</v>
      </c>
      <c r="U54" s="15"/>
      <c r="V54" s="15"/>
      <c r="W54" s="15"/>
      <c r="X54" s="15"/>
      <c r="Y54" s="15"/>
      <c r="Z54" s="15"/>
    </row>
    <row r="55" spans="1:26">
      <c r="A55" s="15" t="str">
        <f t="shared" si="16"/>
        <v/>
      </c>
      <c r="B55" s="15">
        <f>계산표!A40</f>
        <v>0</v>
      </c>
      <c r="C55" s="15">
        <f>계산표!B40</f>
        <v>0</v>
      </c>
      <c r="D55" s="15">
        <f>계산표!AW40</f>
        <v>0</v>
      </c>
      <c r="E55" s="22">
        <f>계산표!AL40</f>
        <v>0</v>
      </c>
      <c r="F55" s="22">
        <f>계산표!AO40</f>
        <v>0</v>
      </c>
      <c r="G55" s="25">
        <f t="shared" si="9"/>
        <v>0</v>
      </c>
      <c r="H55" s="24">
        <f t="shared" si="10"/>
        <v>0</v>
      </c>
      <c r="I55" s="24">
        <f t="shared" si="11"/>
        <v>0</v>
      </c>
      <c r="J55" s="24" t="str">
        <f>계산표!AT40</f>
        <v/>
      </c>
      <c r="K55" s="24" t="str">
        <f>계산표!AU40</f>
        <v/>
      </c>
      <c r="L55" s="21">
        <f>계산표!L40</f>
        <v>0</v>
      </c>
      <c r="M55" s="21">
        <f>IF(OR(D55&lt;&gt;1,C55="없음",계산표!AI40=0),0,MAX(0,1-계산표!AG40/계산표!AI40))</f>
        <v>0</v>
      </c>
      <c r="N55" s="21">
        <f>IFERROR(계산표!AP40-1,0)</f>
        <v>0</v>
      </c>
      <c r="O55" s="15" t="str">
        <f t="shared" si="12"/>
        <v>제외</v>
      </c>
      <c r="P55" s="15" t="str">
        <f t="shared" si="13"/>
        <v>비교 제외</v>
      </c>
      <c r="Q55" s="21" t="str">
        <f t="shared" si="14"/>
        <v/>
      </c>
      <c r="R55" s="15" t="str">
        <f t="shared" si="15"/>
        <v>제외</v>
      </c>
      <c r="S55" s="23" t="str">
        <f>계산표!E40</f>
        <v/>
      </c>
      <c r="T55" s="46">
        <f>IFERROR(INDEX(계산표!$AV$4:$AV$43,MATCH(B55,계산표!$A$4:$A$43,0)),"")</f>
        <v>0</v>
      </c>
      <c r="U55" s="15"/>
      <c r="V55" s="15"/>
      <c r="W55" s="15"/>
      <c r="X55" s="15"/>
      <c r="Y55" s="15"/>
      <c r="Z55" s="15"/>
    </row>
    <row r="56" spans="1:26">
      <c r="A56" s="15" t="str">
        <f t="shared" si="16"/>
        <v/>
      </c>
      <c r="B56" s="15">
        <f>계산표!A41</f>
        <v>0</v>
      </c>
      <c r="C56" s="15">
        <f>계산표!B41</f>
        <v>0</v>
      </c>
      <c r="D56" s="15">
        <f>계산표!AW41</f>
        <v>0</v>
      </c>
      <c r="E56" s="22">
        <f>계산표!AL41</f>
        <v>0</v>
      </c>
      <c r="F56" s="22">
        <f>계산표!AO41</f>
        <v>0</v>
      </c>
      <c r="G56" s="25">
        <f t="shared" si="9"/>
        <v>0</v>
      </c>
      <c r="H56" s="24">
        <f t="shared" si="10"/>
        <v>0</v>
      </c>
      <c r="I56" s="24">
        <f t="shared" si="11"/>
        <v>0</v>
      </c>
      <c r="J56" s="24" t="str">
        <f>계산표!AT41</f>
        <v/>
      </c>
      <c r="K56" s="24" t="str">
        <f>계산표!AU41</f>
        <v/>
      </c>
      <c r="L56" s="21">
        <f>계산표!L41</f>
        <v>0</v>
      </c>
      <c r="M56" s="21">
        <f>IF(OR(D56&lt;&gt;1,C56="없음",계산표!AI41=0),0,MAX(0,1-계산표!AG41/계산표!AI41))</f>
        <v>0</v>
      </c>
      <c r="N56" s="21">
        <f>IFERROR(계산표!AP41-1,0)</f>
        <v>0</v>
      </c>
      <c r="O56" s="15" t="str">
        <f t="shared" si="12"/>
        <v>제외</v>
      </c>
      <c r="P56" s="15" t="str">
        <f t="shared" si="13"/>
        <v>비교 제외</v>
      </c>
      <c r="Q56" s="21" t="str">
        <f t="shared" si="14"/>
        <v/>
      </c>
      <c r="R56" s="15" t="str">
        <f t="shared" si="15"/>
        <v>제외</v>
      </c>
      <c r="S56" s="23" t="str">
        <f>계산표!E41</f>
        <v/>
      </c>
      <c r="T56" s="46">
        <f>IFERROR(INDEX(계산표!$AV$4:$AV$43,MATCH(B56,계산표!$A$4:$A$43,0)),"")</f>
        <v>0</v>
      </c>
      <c r="U56" s="15"/>
      <c r="V56" s="15"/>
      <c r="W56" s="15"/>
      <c r="X56" s="15"/>
      <c r="Y56" s="15"/>
      <c r="Z56" s="15"/>
    </row>
    <row r="57" spans="1:26">
      <c r="A57" s="15" t="str">
        <f t="shared" si="16"/>
        <v/>
      </c>
      <c r="B57" s="15">
        <f>계산표!A42</f>
        <v>0</v>
      </c>
      <c r="C57" s="15">
        <f>계산표!B42</f>
        <v>0</v>
      </c>
      <c r="D57" s="15">
        <f>계산표!AW42</f>
        <v>0</v>
      </c>
      <c r="E57" s="22">
        <f>계산표!AL42</f>
        <v>0</v>
      </c>
      <c r="F57" s="22">
        <f>계산표!AO42</f>
        <v>0</v>
      </c>
      <c r="G57" s="25">
        <f t="shared" si="9"/>
        <v>0</v>
      </c>
      <c r="H57" s="24">
        <f t="shared" si="10"/>
        <v>0</v>
      </c>
      <c r="I57" s="24">
        <f t="shared" si="11"/>
        <v>0</v>
      </c>
      <c r="J57" s="24" t="str">
        <f>계산표!AT42</f>
        <v/>
      </c>
      <c r="K57" s="24" t="str">
        <f>계산표!AU42</f>
        <v/>
      </c>
      <c r="L57" s="21">
        <f>계산표!L42</f>
        <v>0</v>
      </c>
      <c r="M57" s="21">
        <f>IF(OR(D57&lt;&gt;1,C57="없음",계산표!AI42=0),0,MAX(0,1-계산표!AG42/계산표!AI42))</f>
        <v>0</v>
      </c>
      <c r="N57" s="21">
        <f>IFERROR(계산표!AP42-1,0)</f>
        <v>0</v>
      </c>
      <c r="O57" s="15" t="str">
        <f t="shared" si="12"/>
        <v>제외</v>
      </c>
      <c r="P57" s="15" t="str">
        <f t="shared" si="13"/>
        <v>비교 제외</v>
      </c>
      <c r="Q57" s="21" t="str">
        <f t="shared" si="14"/>
        <v/>
      </c>
      <c r="R57" s="15" t="str">
        <f t="shared" si="15"/>
        <v>제외</v>
      </c>
      <c r="S57" s="23" t="str">
        <f>계산표!E42</f>
        <v/>
      </c>
      <c r="T57" s="46">
        <f>IFERROR(INDEX(계산표!$AV$4:$AV$43,MATCH(B57,계산표!$A$4:$A$43,0)),"")</f>
        <v>0</v>
      </c>
      <c r="U57" s="15"/>
      <c r="V57" s="15"/>
      <c r="W57" s="15"/>
      <c r="X57" s="15"/>
      <c r="Y57" s="15"/>
      <c r="Z57" s="15"/>
    </row>
    <row r="58" spans="1:26">
      <c r="A58" s="15" t="str">
        <f t="shared" si="16"/>
        <v/>
      </c>
      <c r="B58" s="15">
        <f>계산표!A43</f>
        <v>0</v>
      </c>
      <c r="C58" s="15">
        <f>계산표!B43</f>
        <v>0</v>
      </c>
      <c r="D58" s="15">
        <f>계산표!AW43</f>
        <v>0</v>
      </c>
      <c r="E58" s="22">
        <f>계산표!AL43</f>
        <v>0</v>
      </c>
      <c r="F58" s="22">
        <f>계산표!AO43</f>
        <v>0</v>
      </c>
      <c r="G58" s="25">
        <f t="shared" si="9"/>
        <v>0</v>
      </c>
      <c r="H58" s="24">
        <f t="shared" si="10"/>
        <v>0</v>
      </c>
      <c r="I58" s="24">
        <f t="shared" si="11"/>
        <v>0</v>
      </c>
      <c r="J58" s="24" t="str">
        <f>계산표!AT43</f>
        <v/>
      </c>
      <c r="K58" s="24" t="str">
        <f>계산표!AU43</f>
        <v/>
      </c>
      <c r="L58" s="21">
        <f>계산표!L43</f>
        <v>0</v>
      </c>
      <c r="M58" s="21">
        <f>IF(OR(D58&lt;&gt;1,C58="없음",계산표!AI43=0),0,MAX(0,1-계산표!AG43/계산표!AI43))</f>
        <v>0</v>
      </c>
      <c r="N58" s="21">
        <f>IFERROR(계산표!AP43-1,0)</f>
        <v>0</v>
      </c>
      <c r="O58" s="15" t="str">
        <f t="shared" si="12"/>
        <v>제외</v>
      </c>
      <c r="P58" s="15" t="str">
        <f t="shared" si="13"/>
        <v>비교 제외</v>
      </c>
      <c r="Q58" s="21" t="str">
        <f t="shared" si="14"/>
        <v/>
      </c>
      <c r="R58" s="15" t="str">
        <f t="shared" si="15"/>
        <v>제외</v>
      </c>
      <c r="S58" s="23" t="str">
        <f>계산표!E43</f>
        <v/>
      </c>
      <c r="T58" s="46">
        <f>IFERROR(INDEX(계산표!$AV$4:$AV$43,MATCH(B58,계산표!$A$4:$A$43,0)),"")</f>
        <v>0</v>
      </c>
      <c r="U58" s="15"/>
      <c r="V58" s="15"/>
      <c r="W58" s="15"/>
      <c r="X58" s="15"/>
      <c r="Y58" s="15"/>
      <c r="Z58" s="15"/>
    </row>
    <row r="59" spans="1:2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</sheetData>
  <mergeCells count="4">
    <mergeCell ref="A1:Y1"/>
    <mergeCell ref="A2:Y2"/>
    <mergeCell ref="Q4:U4"/>
    <mergeCell ref="V4:Y4"/>
  </mergeCells>
  <phoneticPr fontId="5" type="noConversion"/>
  <conditionalFormatting sqref="G19:G58">
    <cfRule type="dataBar" priority="1">
      <dataBar>
        <cfvo type="min"/>
        <cfvo type="max"/>
        <color rgb="FFDC2626"/>
      </dataBar>
    </cfRule>
    <cfRule type="dataBar" priority="9">
      <dataBar>
        <cfvo type="min"/>
        <cfvo type="max"/>
        <color rgb="FFDC2626"/>
      </dataBar>
    </cfRule>
    <cfRule type="dataBar" priority="13">
      <dataBar>
        <cfvo type="min"/>
        <cfvo type="max"/>
        <color rgb="FFDC2626"/>
      </dataBar>
    </cfRule>
    <cfRule type="dataBar" priority="17">
      <dataBar>
        <cfvo type="min"/>
        <cfvo type="max"/>
        <color rgb="FFDC2626"/>
      </dataBar>
      <extLst>
        <ext xmlns:x14="http://schemas.microsoft.com/office/spreadsheetml/2009/9/main" uri="{B025F937-C7B1-47D3-B67F-A62EFF666E3E}">
          <x14:id>{58D5B471-0794-FBF1-9DCE-F115A4DEB75C}</x14:id>
        </ext>
      </extLst>
    </cfRule>
  </conditionalFormatting>
  <conditionalFormatting sqref="H19:H58">
    <cfRule type="dataBar" priority="2">
      <dataBar>
        <cfvo type="min"/>
        <cfvo type="max"/>
        <color rgb="FFF97316"/>
      </dataBar>
    </cfRule>
    <cfRule type="dataBar" priority="10">
      <dataBar>
        <cfvo type="min"/>
        <cfvo type="max"/>
        <color rgb="FFF97316"/>
      </dataBar>
    </cfRule>
    <cfRule type="dataBar" priority="14">
      <dataBar>
        <cfvo type="min"/>
        <cfvo type="max"/>
        <color rgb="FFF97316"/>
      </dataBar>
    </cfRule>
    <cfRule type="dataBar" priority="18">
      <dataBar>
        <cfvo type="min"/>
        <cfvo type="max"/>
        <color rgb="FFF97316"/>
      </dataBar>
      <extLst>
        <ext xmlns:x14="http://schemas.microsoft.com/office/spreadsheetml/2009/9/main" uri="{B025F937-C7B1-47D3-B67F-A62EFF666E3E}">
          <x14:id>{EA2CF146-1D2E-41A2-E926-C94328ECABB3}</x14:id>
        </ext>
      </extLst>
    </cfRule>
  </conditionalFormatting>
  <conditionalFormatting sqref="I19:I58">
    <cfRule type="colorScale" priority="3">
      <colorScale>
        <cfvo type="min"/>
        <cfvo type="percentile" val="50"/>
        <cfvo type="max"/>
        <color rgb="FFFCA5A5"/>
        <color rgb="FFFEF3C7"/>
        <color rgb="FFBBF7D0"/>
      </colorScale>
    </cfRule>
  </conditionalFormatting>
  <conditionalFormatting sqref="J19:J58">
    <cfRule type="colorScale" priority="4">
      <colorScale>
        <cfvo type="min"/>
        <cfvo type="percentile" val="50"/>
        <cfvo type="max"/>
        <color rgb="FFFCA5A5"/>
        <color rgb="FFFEF3C7"/>
        <color rgb="FFBBF7D0"/>
      </colorScale>
    </cfRule>
  </conditionalFormatting>
  <conditionalFormatting sqref="K19:K58">
    <cfRule type="colorScale" priority="5">
      <colorScale>
        <cfvo type="min"/>
        <cfvo type="percentile" val="50"/>
        <cfvo type="max"/>
        <color rgb="FFFCA5A5"/>
        <color rgb="FFFEF3C7"/>
        <color rgb="FFBBF7D0"/>
      </colorScale>
    </cfRule>
  </conditionalFormatting>
  <conditionalFormatting sqref="T6:T15">
    <cfRule type="dataBar" priority="6">
      <dataBar>
        <cfvo type="min"/>
        <cfvo type="max"/>
        <color rgb="FFDC2626"/>
      </dataBar>
    </cfRule>
    <cfRule type="dataBar" priority="11">
      <dataBar>
        <cfvo type="min"/>
        <cfvo type="max"/>
        <color rgb="FFDC2626"/>
      </dataBar>
    </cfRule>
    <cfRule type="dataBar" priority="15">
      <dataBar>
        <cfvo type="min"/>
        <cfvo type="max"/>
        <color rgb="FFDC2626"/>
      </dataBar>
    </cfRule>
    <cfRule type="dataBar" priority="19">
      <dataBar>
        <cfvo type="min"/>
        <cfvo type="max"/>
        <color rgb="FFDC2626"/>
      </dataBar>
      <extLst>
        <ext xmlns:x14="http://schemas.microsoft.com/office/spreadsheetml/2009/9/main" uri="{B025F937-C7B1-47D3-B67F-A62EFF666E3E}">
          <x14:id>{2C8EAA4D-BEFC-27DE-2E4A-D19C57212BCC}</x14:id>
        </ext>
      </extLst>
    </cfRule>
  </conditionalFormatting>
  <conditionalFormatting sqref="U6:U15">
    <cfRule type="dataBar" priority="7">
      <dataBar>
        <cfvo type="min"/>
        <cfvo type="max"/>
        <color rgb="FFF97316"/>
      </dataBar>
    </cfRule>
    <cfRule type="dataBar" priority="12">
      <dataBar>
        <cfvo type="min"/>
        <cfvo type="max"/>
        <color rgb="FFF97316"/>
      </dataBar>
    </cfRule>
    <cfRule type="dataBar" priority="16">
      <dataBar>
        <cfvo type="min"/>
        <cfvo type="max"/>
        <color rgb="FFF97316"/>
      </dataBar>
    </cfRule>
    <cfRule type="dataBar" priority="20">
      <dataBar>
        <cfvo type="min"/>
        <cfvo type="max"/>
        <color rgb="FFF97316"/>
      </dataBar>
      <extLst>
        <ext xmlns:x14="http://schemas.microsoft.com/office/spreadsheetml/2009/9/main" uri="{B025F937-C7B1-47D3-B67F-A62EFF666E3E}">
          <x14:id>{EF9E6094-8347-5431-8D24-7E76932C1E3A}</x14:id>
        </ext>
      </extLst>
    </cfRule>
  </conditionalFormatting>
  <conditionalFormatting sqref="V6:V15">
    <cfRule type="colorScale" priority="8">
      <colorScale>
        <cfvo type="min"/>
        <cfvo type="percentile" val="50"/>
        <cfvo type="max"/>
        <color rgb="FFBBF7D0"/>
        <color rgb="FFFEF3C7"/>
        <color rgb="FFFCA5A5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D5B471-0794-FBF1-9DCE-F115A4DEB75C}">
            <x14:dataBar>
              <x14:cfvo type="min"/>
              <x14:cfvo type="max"/>
              <x14:negativeFillColor auto="1"/>
              <x14:axisColor auto="1"/>
            </x14:dataBar>
          </x14:cfRule>
          <xm:sqref>G19:G58</xm:sqref>
        </x14:conditionalFormatting>
        <x14:conditionalFormatting xmlns:xm="http://schemas.microsoft.com/office/excel/2006/main">
          <x14:cfRule type="dataBar" id="{EA2CF146-1D2E-41A2-E926-C94328ECABB3}">
            <x14:dataBar>
              <x14:cfvo type="min"/>
              <x14:cfvo type="max"/>
              <x14:negativeFillColor auto="1"/>
              <x14:axisColor auto="1"/>
            </x14:dataBar>
          </x14:cfRule>
          <xm:sqref>H19:H58</xm:sqref>
        </x14:conditionalFormatting>
        <x14:conditionalFormatting xmlns:xm="http://schemas.microsoft.com/office/excel/2006/main">
          <x14:cfRule type="dataBar" id="{2C8EAA4D-BEFC-27DE-2E4A-D19C57212BCC}">
            <x14:dataBar>
              <x14:cfvo type="min"/>
              <x14:cfvo type="max"/>
              <x14:negativeFillColor auto="1"/>
              <x14:axisColor auto="1"/>
            </x14:dataBar>
          </x14:cfRule>
          <xm:sqref>T6:T15</xm:sqref>
        </x14:conditionalFormatting>
        <x14:conditionalFormatting xmlns:xm="http://schemas.microsoft.com/office/excel/2006/main">
          <x14:cfRule type="dataBar" id="{EF9E6094-8347-5431-8D24-7E76932C1E3A}">
            <x14:dataBar>
              <x14:cfvo type="min"/>
              <x14:cfvo type="max"/>
              <x14:negativeFillColor auto="1"/>
              <x14:axisColor auto="1"/>
            </x14:dataBar>
          </x14:cfRule>
          <xm:sqref>U6:U15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통합_입력</vt:lpstr>
      <vt:lpstr>설정</vt:lpstr>
      <vt:lpstr>계산표</vt:lpstr>
      <vt:lpstr>이항분포</vt:lpstr>
      <vt:lpstr>결과</vt:lpstr>
      <vt:lpstr>개선분석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Nho</cp:lastModifiedBy>
  <dcterms:modified xsi:type="dcterms:W3CDTF">2026-06-21T07:56:54Z</dcterms:modified>
</cp:coreProperties>
</file>